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915"/>
  <workbookPr filterPrivacy="1" codeName="ThisWorkbook" autoCompressPictures="0"/>
  <bookViews>
    <workbookView xWindow="3240" yWindow="40" windowWidth="47960" windowHeight="26700" tabRatio="818"/>
  </bookViews>
  <sheets>
    <sheet name="START HERE - Summary Input Page" sheetId="5" r:id="rId1"/>
    <sheet name="Salary Expense" sheetId="8" r:id="rId2"/>
    <sheet name="Salary Expense by Course" sheetId="2" state="hidden" r:id="rId3"/>
    <sheet name="Other General Expense" sheetId="7" r:id="rId4"/>
    <sheet name="State Authorization Expense" sheetId="3" r:id="rId5"/>
    <sheet name="Admissions Activity Expense" sheetId="6" r:id="rId6"/>
    <sheet name="Revenue Estimation" sheetId="4" r:id="rId7"/>
    <sheet name="Pro-Forma Income Statement" sheetId="1" r:id="rId8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5">'Admissions Activity Expense'!$A$1:$I$39</definedName>
    <definedName name="_xlnm.Print_Area" localSheetId="3">'Other General Expense'!$A$1:$I$69</definedName>
    <definedName name="_xlnm.Print_Area" localSheetId="7">'Pro-Forma Income Statement'!$A$3:$G$48</definedName>
    <definedName name="_xlnm.Print_Area" localSheetId="6">'Revenue Estimation'!$A$1:$H$33</definedName>
    <definedName name="_xlnm.Print_Area" localSheetId="1">'Salary Expense'!$A$1:$I$39</definedName>
    <definedName name="_xlnm.Print_Area" localSheetId="0">'START HERE - Summary Input Page'!$A$1:$F$83</definedName>
    <definedName name="_xlnm.Print_Area" localSheetId="4">'State Authorization Expense'!$A$1:$G$19</definedName>
    <definedName name="Show.Acct.Update.Warning" hidden="1">#REF!</definedName>
    <definedName name="Show.MDB.Update.Warning" hidden="1">#REF!</definedName>
    <definedName name="solver_typ" localSheetId="3" hidden="1">2</definedName>
    <definedName name="solver_typ" localSheetId="6" hidden="1">2</definedName>
    <definedName name="solver_typ" localSheetId="0" hidden="1">2</definedName>
    <definedName name="solver_ver" localSheetId="3" hidden="1">15</definedName>
    <definedName name="solver_ver" localSheetId="6" hidden="1">15</definedName>
    <definedName name="solver_ver" localSheetId="0" hidden="1">15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5" i="4" l="1"/>
  <c r="G25" i="4"/>
  <c r="F25" i="4"/>
  <c r="E25" i="4"/>
  <c r="D25" i="4"/>
  <c r="C10" i="4"/>
  <c r="H24" i="4"/>
  <c r="G24" i="4"/>
  <c r="F24" i="4"/>
  <c r="E24" i="4"/>
  <c r="D24" i="4"/>
  <c r="C11" i="4"/>
  <c r="F26" i="4"/>
  <c r="E26" i="4"/>
  <c r="D26" i="4"/>
  <c r="H26" i="4"/>
  <c r="G26" i="4"/>
  <c r="C13" i="4"/>
  <c r="C14" i="4"/>
  <c r="E7" i="1"/>
  <c r="C7" i="1"/>
  <c r="G7" i="1"/>
  <c r="F7" i="1"/>
  <c r="G38" i="1"/>
  <c r="G37" i="1"/>
  <c r="G36" i="1"/>
  <c r="G35" i="1"/>
  <c r="F38" i="1"/>
  <c r="F37" i="1"/>
  <c r="F36" i="1"/>
  <c r="F35" i="1"/>
  <c r="E38" i="1"/>
  <c r="E37" i="1"/>
  <c r="E36" i="1"/>
  <c r="E35" i="1"/>
  <c r="D38" i="1"/>
  <c r="D37" i="1"/>
  <c r="D36" i="1"/>
  <c r="D35" i="1"/>
  <c r="C38" i="1"/>
  <c r="C37" i="1"/>
  <c r="C36" i="1"/>
  <c r="C35" i="1"/>
  <c r="B38" i="1"/>
  <c r="B37" i="1"/>
  <c r="B36" i="1"/>
  <c r="B35" i="1"/>
  <c r="D7" i="1"/>
  <c r="C39" i="1"/>
  <c r="D39" i="1"/>
  <c r="E39" i="1"/>
  <c r="F39" i="1"/>
  <c r="G39" i="1"/>
  <c r="C16" i="4"/>
  <c r="C8" i="4"/>
  <c r="C7" i="4"/>
  <c r="C31" i="4"/>
  <c r="C14" i="6"/>
  <c r="C35" i="7"/>
  <c r="C34" i="7"/>
  <c r="C48" i="7"/>
  <c r="C55" i="7"/>
  <c r="H64" i="7"/>
  <c r="C56" i="7"/>
  <c r="I65" i="7"/>
  <c r="B56" i="7"/>
  <c r="B55" i="7"/>
  <c r="B54" i="7"/>
  <c r="B53" i="7"/>
  <c r="B52" i="7"/>
  <c r="C40" i="7"/>
  <c r="C25" i="6"/>
  <c r="D25" i="6"/>
  <c r="E25" i="6"/>
  <c r="F25" i="6"/>
  <c r="G25" i="6"/>
  <c r="H25" i="6"/>
  <c r="C4" i="6"/>
  <c r="C6" i="6"/>
  <c r="C8" i="6"/>
  <c r="C10" i="6"/>
  <c r="C12" i="6"/>
  <c r="B6" i="6"/>
  <c r="B8" i="6"/>
  <c r="B10" i="6"/>
  <c r="B12" i="6"/>
  <c r="B4" i="6"/>
  <c r="C24" i="8"/>
  <c r="C18" i="8"/>
  <c r="C12" i="8"/>
  <c r="C6" i="8"/>
  <c r="C29" i="8"/>
  <c r="E29" i="8"/>
  <c r="F29" i="8"/>
  <c r="G29" i="8"/>
  <c r="H29" i="8"/>
  <c r="F33" i="6"/>
  <c r="F27" i="6"/>
  <c r="H33" i="6"/>
  <c r="E27" i="6"/>
  <c r="G33" i="6"/>
  <c r="H27" i="6"/>
  <c r="D27" i="6"/>
  <c r="G27" i="6"/>
  <c r="E33" i="6"/>
  <c r="D33" i="6"/>
  <c r="H48" i="7"/>
  <c r="G48" i="7"/>
  <c r="F48" i="7"/>
  <c r="I48" i="7"/>
  <c r="E48" i="7"/>
  <c r="H65" i="7"/>
  <c r="I64" i="7"/>
  <c r="C54" i="7"/>
  <c r="G65" i="7"/>
  <c r="G64" i="7"/>
  <c r="D28" i="4"/>
  <c r="E28" i="4"/>
  <c r="F28" i="4"/>
  <c r="G28" i="4"/>
  <c r="H28" i="4"/>
  <c r="D21" i="4"/>
  <c r="E21" i="4"/>
  <c r="F21" i="4"/>
  <c r="G21" i="4"/>
  <c r="H21" i="4"/>
  <c r="H20" i="4"/>
  <c r="G20" i="4"/>
  <c r="F20" i="4"/>
  <c r="E20" i="4"/>
  <c r="D20" i="4"/>
  <c r="E40" i="7"/>
  <c r="D26" i="8"/>
  <c r="D20" i="8"/>
  <c r="D14" i="8"/>
  <c r="D8" i="8"/>
  <c r="C19" i="7"/>
  <c r="C20" i="7"/>
  <c r="G18" i="1"/>
  <c r="F18" i="1"/>
  <c r="E18" i="1"/>
  <c r="D18" i="1"/>
  <c r="C18" i="1"/>
  <c r="F63" i="7"/>
  <c r="H63" i="7"/>
  <c r="H67" i="7"/>
  <c r="E63" i="7"/>
  <c r="G63" i="7"/>
  <c r="C53" i="7"/>
  <c r="C52" i="7"/>
  <c r="G67" i="7"/>
  <c r="E26" i="1"/>
  <c r="I63" i="7"/>
  <c r="I67" i="7"/>
  <c r="G26" i="1"/>
  <c r="E65" i="7"/>
  <c r="E64" i="7"/>
  <c r="F64" i="7"/>
  <c r="F65" i="7"/>
  <c r="F26" i="1"/>
  <c r="C23" i="8"/>
  <c r="C17" i="8"/>
  <c r="C11" i="8"/>
  <c r="C5" i="8"/>
  <c r="F44" i="7"/>
  <c r="D30" i="1"/>
  <c r="G44" i="7"/>
  <c r="E30" i="1"/>
  <c r="H44" i="7"/>
  <c r="F30" i="1"/>
  <c r="I44" i="7"/>
  <c r="G30" i="1"/>
  <c r="E44" i="7"/>
  <c r="C30" i="1"/>
  <c r="C20" i="6"/>
  <c r="E67" i="7"/>
  <c r="C26" i="1"/>
  <c r="F67" i="7"/>
  <c r="D26" i="1"/>
  <c r="D17" i="8"/>
  <c r="D23" i="8"/>
  <c r="D11" i="8"/>
  <c r="D5" i="8"/>
  <c r="E34" i="7"/>
  <c r="C11" i="7"/>
  <c r="G10" i="7"/>
  <c r="E27" i="1"/>
  <c r="C29" i="1"/>
  <c r="F34" i="7"/>
  <c r="D36" i="8"/>
  <c r="E23" i="8"/>
  <c r="D33" i="8"/>
  <c r="C14" i="1"/>
  <c r="E5" i="8"/>
  <c r="D34" i="8"/>
  <c r="C15" i="1"/>
  <c r="E11" i="8"/>
  <c r="D35" i="8"/>
  <c r="E17" i="8"/>
  <c r="E10" i="7"/>
  <c r="C27" i="1"/>
  <c r="I10" i="7"/>
  <c r="G27" i="1"/>
  <c r="F10" i="7"/>
  <c r="D27" i="1"/>
  <c r="H10" i="7"/>
  <c r="F27" i="1"/>
  <c r="C18" i="6"/>
  <c r="G34" i="7"/>
  <c r="D29" i="1"/>
  <c r="C16" i="1"/>
  <c r="D37" i="8"/>
  <c r="D38" i="8"/>
  <c r="D39" i="8"/>
  <c r="F17" i="8"/>
  <c r="E35" i="8"/>
  <c r="F5" i="8"/>
  <c r="E33" i="8"/>
  <c r="F11" i="8"/>
  <c r="E34" i="8"/>
  <c r="D15" i="1"/>
  <c r="F23" i="8"/>
  <c r="E36" i="8"/>
  <c r="D34" i="6"/>
  <c r="D35" i="6"/>
  <c r="D36" i="6"/>
  <c r="D28" i="6"/>
  <c r="D29" i="6"/>
  <c r="D30" i="6"/>
  <c r="F34" i="6"/>
  <c r="F35" i="6"/>
  <c r="F36" i="6"/>
  <c r="F28" i="6"/>
  <c r="F29" i="6"/>
  <c r="F30" i="6"/>
  <c r="E34" i="6"/>
  <c r="E35" i="6"/>
  <c r="E36" i="6"/>
  <c r="G28" i="6"/>
  <c r="G29" i="6"/>
  <c r="G30" i="6"/>
  <c r="H34" i="6"/>
  <c r="H35" i="6"/>
  <c r="H36" i="6"/>
  <c r="H28" i="6"/>
  <c r="H29" i="6"/>
  <c r="H30" i="6"/>
  <c r="G34" i="6"/>
  <c r="G35" i="6"/>
  <c r="G36" i="6"/>
  <c r="E28" i="6"/>
  <c r="E29" i="6"/>
  <c r="E30" i="6"/>
  <c r="I20" i="2"/>
  <c r="I21" i="2"/>
  <c r="I22" i="2"/>
  <c r="I23" i="2"/>
  <c r="I24" i="2"/>
  <c r="I25" i="2"/>
  <c r="I26" i="2"/>
  <c r="I19" i="2"/>
  <c r="C7" i="2"/>
  <c r="C9" i="2"/>
  <c r="J24" i="2"/>
  <c r="H34" i="7"/>
  <c r="E29" i="1"/>
  <c r="C17" i="1"/>
  <c r="D14" i="1"/>
  <c r="E37" i="8"/>
  <c r="E38" i="8"/>
  <c r="G23" i="8"/>
  <c r="F36" i="8"/>
  <c r="D16" i="1"/>
  <c r="G5" i="8"/>
  <c r="F33" i="8"/>
  <c r="G11" i="8"/>
  <c r="F34" i="8"/>
  <c r="E15" i="1"/>
  <c r="G17" i="8"/>
  <c r="F35" i="8"/>
  <c r="E31" i="6"/>
  <c r="G31" i="6"/>
  <c r="D31" i="6"/>
  <c r="G37" i="6"/>
  <c r="E37" i="6"/>
  <c r="D37" i="6"/>
  <c r="H31" i="6"/>
  <c r="F31" i="6"/>
  <c r="H37" i="6"/>
  <c r="F37" i="6"/>
  <c r="F22" i="4"/>
  <c r="D22" i="4"/>
  <c r="I27" i="2"/>
  <c r="J19" i="2"/>
  <c r="J25" i="2"/>
  <c r="J21" i="2"/>
  <c r="J26" i="2"/>
  <c r="J22" i="2"/>
  <c r="J23" i="2"/>
  <c r="J20" i="2"/>
  <c r="C11" i="2"/>
  <c r="D29" i="4"/>
  <c r="E29" i="4"/>
  <c r="E22" i="4"/>
  <c r="E31" i="4"/>
  <c r="D9" i="1"/>
  <c r="E33" i="4"/>
  <c r="D31" i="4"/>
  <c r="C9" i="1"/>
  <c r="D8" i="1"/>
  <c r="E6" i="1"/>
  <c r="F31" i="4"/>
  <c r="E9" i="1"/>
  <c r="C8" i="1"/>
  <c r="I34" i="7"/>
  <c r="G29" i="1"/>
  <c r="F29" i="1"/>
  <c r="E16" i="1"/>
  <c r="E14" i="1"/>
  <c r="F37" i="8"/>
  <c r="F38" i="8"/>
  <c r="H17" i="8"/>
  <c r="H35" i="8"/>
  <c r="G35" i="8"/>
  <c r="H5" i="8"/>
  <c r="H33" i="8"/>
  <c r="G33" i="8"/>
  <c r="E39" i="8"/>
  <c r="D17" i="1"/>
  <c r="H11" i="8"/>
  <c r="H34" i="8"/>
  <c r="G15" i="1"/>
  <c r="G34" i="8"/>
  <c r="F15" i="1"/>
  <c r="H23" i="8"/>
  <c r="H36" i="8"/>
  <c r="G36" i="8"/>
  <c r="F16" i="1"/>
  <c r="G39" i="6"/>
  <c r="F19" i="1"/>
  <c r="E39" i="6"/>
  <c r="D19" i="1"/>
  <c r="F39" i="6"/>
  <c r="E19" i="1"/>
  <c r="H39" i="6"/>
  <c r="G19" i="1"/>
  <c r="D39" i="6"/>
  <c r="C19" i="1"/>
  <c r="G29" i="4"/>
  <c r="G22" i="4"/>
  <c r="H47" i="2"/>
  <c r="H49" i="2"/>
  <c r="H53" i="2"/>
  <c r="H60" i="2"/>
  <c r="H62" i="2"/>
  <c r="H66" i="2"/>
  <c r="H34" i="2"/>
  <c r="H36" i="2"/>
  <c r="H22" i="4"/>
  <c r="H29" i="4"/>
  <c r="J27" i="2"/>
  <c r="D6" i="1"/>
  <c r="C6" i="1"/>
  <c r="F29" i="4"/>
  <c r="C60" i="2"/>
  <c r="C62" i="2"/>
  <c r="C47" i="2"/>
  <c r="C49" i="2"/>
  <c r="C53" i="2"/>
  <c r="C34" i="2"/>
  <c r="C36" i="2"/>
  <c r="D27" i="2"/>
  <c r="E20" i="2"/>
  <c r="E21" i="2"/>
  <c r="E22" i="2"/>
  <c r="E23" i="2"/>
  <c r="E24" i="2"/>
  <c r="E25" i="2"/>
  <c r="E26" i="2"/>
  <c r="E19" i="2"/>
  <c r="D10" i="1"/>
  <c r="D33" i="4"/>
  <c r="G31" i="4"/>
  <c r="F9" i="1"/>
  <c r="F33" i="4"/>
  <c r="C10" i="1"/>
  <c r="G8" i="1"/>
  <c r="G6" i="1"/>
  <c r="H31" i="4"/>
  <c r="G9" i="1"/>
  <c r="E8" i="1"/>
  <c r="E10" i="1"/>
  <c r="F8" i="1"/>
  <c r="F39" i="8"/>
  <c r="E17" i="1"/>
  <c r="G14" i="1"/>
  <c r="H37" i="8"/>
  <c r="H38" i="8"/>
  <c r="G16" i="1"/>
  <c r="G37" i="8"/>
  <c r="G38" i="8"/>
  <c r="F14" i="1"/>
  <c r="F6" i="1"/>
  <c r="H40" i="2"/>
  <c r="H69" i="2"/>
  <c r="G31" i="1"/>
  <c r="F31" i="1"/>
  <c r="E31" i="1"/>
  <c r="D31" i="1"/>
  <c r="C66" i="2"/>
  <c r="C31" i="1"/>
  <c r="C40" i="2"/>
  <c r="E27" i="2"/>
  <c r="G33" i="4"/>
  <c r="F10" i="1"/>
  <c r="H33" i="4"/>
  <c r="G10" i="1"/>
  <c r="H39" i="8"/>
  <c r="G17" i="1"/>
  <c r="G39" i="8"/>
  <c r="F17" i="1"/>
  <c r="F23" i="1"/>
  <c r="E30" i="7"/>
  <c r="E28" i="7"/>
  <c r="E24" i="7"/>
  <c r="E29" i="7"/>
  <c r="E25" i="7"/>
  <c r="E26" i="7"/>
  <c r="E23" i="7"/>
  <c r="G30" i="7"/>
  <c r="I28" i="7"/>
  <c r="F29" i="7"/>
  <c r="F26" i="7"/>
  <c r="I29" i="7"/>
  <c r="H28" i="7"/>
  <c r="F28" i="7"/>
  <c r="F23" i="7"/>
  <c r="I30" i="7"/>
  <c r="G28" i="7"/>
  <c r="H30" i="7"/>
  <c r="G29" i="7"/>
  <c r="F30" i="7"/>
  <c r="F25" i="7"/>
  <c r="H29" i="7"/>
  <c r="F24" i="7"/>
  <c r="C69" i="2"/>
  <c r="D23" i="1"/>
  <c r="E28" i="1"/>
  <c r="E32" i="1"/>
  <c r="F28" i="1"/>
  <c r="F32" i="1"/>
  <c r="G28" i="1"/>
  <c r="G32" i="1"/>
  <c r="G23" i="1"/>
  <c r="D28" i="1"/>
  <c r="D32" i="1"/>
  <c r="E23" i="1"/>
  <c r="C28" i="1"/>
  <c r="C32" i="1"/>
  <c r="C23" i="1"/>
  <c r="D41" i="1"/>
  <c r="D45" i="1"/>
  <c r="G41" i="1"/>
  <c r="G45" i="1"/>
  <c r="C41" i="1"/>
  <c r="C45" i="1"/>
  <c r="E41" i="1"/>
  <c r="E45" i="1"/>
  <c r="F41" i="1"/>
  <c r="F45" i="1"/>
</calcChain>
</file>

<file path=xl/sharedStrings.xml><?xml version="1.0" encoding="utf-8"?>
<sst xmlns="http://schemas.openxmlformats.org/spreadsheetml/2006/main" count="522" uniqueCount="305">
  <si>
    <t>REVENUE</t>
  </si>
  <si>
    <t>General/Administrative</t>
  </si>
  <si>
    <t>Total General/Administrative Expenses</t>
  </si>
  <si>
    <t>NET INCOME (LOSS)</t>
  </si>
  <si>
    <t>Tuition</t>
  </si>
  <si>
    <t>Program Based Student Fees</t>
  </si>
  <si>
    <t>Net Revenue</t>
  </si>
  <si>
    <t>Year 1</t>
  </si>
  <si>
    <t>Year 2</t>
  </si>
  <si>
    <t>Year 3</t>
  </si>
  <si>
    <t>Year 4</t>
  </si>
  <si>
    <t>Year 5</t>
  </si>
  <si>
    <t>Fringe</t>
  </si>
  <si>
    <t>Space (Office and Classroom)</t>
  </si>
  <si>
    <t xml:space="preserve">Computer &amp; Telephony </t>
  </si>
  <si>
    <t>Marketing Activities &amp; Materials</t>
  </si>
  <si>
    <t>Potential Program Operations Pro Forma</t>
  </si>
  <si>
    <t>Website Design and Maintenance</t>
  </si>
  <si>
    <t>Faculty</t>
  </si>
  <si>
    <t>Instructional Designers</t>
  </si>
  <si>
    <t>Salary</t>
  </si>
  <si>
    <t>State Authorization Fees</t>
  </si>
  <si>
    <t>Administration, Staff, IT</t>
  </si>
  <si>
    <t>Terms per year</t>
  </si>
  <si>
    <t>Classes per term</t>
  </si>
  <si>
    <t>Courses Per year</t>
  </si>
  <si>
    <t>Faculty Salary Support Per Course</t>
  </si>
  <si>
    <t>Faculty 1</t>
  </si>
  <si>
    <t>Faculty 2</t>
  </si>
  <si>
    <t>Faculty 3</t>
  </si>
  <si>
    <t>Faculty 4</t>
  </si>
  <si>
    <t>Faculty 5</t>
  </si>
  <si>
    <t>Faculty 6</t>
  </si>
  <si>
    <t>Faculty 7</t>
  </si>
  <si>
    <t>Faculty 8</t>
  </si>
  <si>
    <t>Total Support</t>
  </si>
  <si>
    <t>Totals</t>
  </si>
  <si>
    <t>Course Load</t>
  </si>
  <si>
    <t>Courses per year</t>
  </si>
  <si>
    <t>Courses per Instructional Designer</t>
  </si>
  <si>
    <t xml:space="preserve">Instructional Designer Calculation </t>
  </si>
  <si>
    <t>Instructional Designer recommended</t>
  </si>
  <si>
    <t>Instructional Designer salary</t>
  </si>
  <si>
    <t>Potential Instructional Designer support</t>
  </si>
  <si>
    <t>Courses per IT Resource</t>
  </si>
  <si>
    <t xml:space="preserve">IT Resource Calculation </t>
  </si>
  <si>
    <t>Courses per Admin &amp; Support Staff</t>
  </si>
  <si>
    <t>Admin &amp; Support Staff recommended</t>
  </si>
  <si>
    <t>Admin &amp; Support Staff salary</t>
  </si>
  <si>
    <t>Potential Admin &amp; Support Staff support</t>
  </si>
  <si>
    <t>Salary Calculation Variables</t>
  </si>
  <si>
    <t>Student Enrollment</t>
  </si>
  <si>
    <t>Courses per Term</t>
  </si>
  <si>
    <t>Tuition Revenue Total</t>
  </si>
  <si>
    <t>Fee Revenue Total</t>
  </si>
  <si>
    <t>Combined Total Revenue</t>
  </si>
  <si>
    <t>Initial estimations</t>
  </si>
  <si>
    <t>Estimations</t>
  </si>
  <si>
    <t>Assumption: Faculty Salary was held constant. Adjust as needed</t>
  </si>
  <si>
    <t>Best practice is to have:_____________</t>
  </si>
  <si>
    <t>Year 1 Estimate</t>
  </si>
  <si>
    <t>Assumption: Year 2 and onward will have 50% more classes. Adjust as needed</t>
  </si>
  <si>
    <t>Year 2 onward course increase</t>
  </si>
  <si>
    <t>Year 2 &amp; Onward Estimate</t>
  </si>
  <si>
    <t>Advertising &amp; Marketing (annual)</t>
  </si>
  <si>
    <t>Office Supplies &amp; Postage</t>
  </si>
  <si>
    <t>Application Review (per applicant in hours)</t>
  </si>
  <si>
    <t>Total Space Cost</t>
  </si>
  <si>
    <t>Computer Workstation per person</t>
  </si>
  <si>
    <t>Desk Phone</t>
  </si>
  <si>
    <t>Cell Phone</t>
  </si>
  <si>
    <t>Activate Data Jack</t>
  </si>
  <si>
    <t>Start up Charges (per FTE)</t>
  </si>
  <si>
    <t>Estimated FTEs Year 1</t>
  </si>
  <si>
    <t>Dollars per square foot per year</t>
  </si>
  <si>
    <t>Total Space in sq. ft.</t>
  </si>
  <si>
    <t>Ongoing Charge (per FTE per mo.)</t>
  </si>
  <si>
    <t>Admissions Counselor Salary</t>
  </si>
  <si>
    <t>Additional Staff Review</t>
  </si>
  <si>
    <t>Initial Application Review Effort (hrs.)</t>
  </si>
  <si>
    <t>Subsequent Review</t>
  </si>
  <si>
    <t>FTE measure</t>
  </si>
  <si>
    <t>Effort Cost</t>
  </si>
  <si>
    <t>Subtotal</t>
  </si>
  <si>
    <t>Fringe Rate for FY2015</t>
  </si>
  <si>
    <t>Fringe Benefit Rate FY2015</t>
  </si>
  <si>
    <t>Number of Faculty</t>
  </si>
  <si>
    <t>Number of IT Resources</t>
  </si>
  <si>
    <t>Estimated Instructional Designer Salary</t>
  </si>
  <si>
    <t>Estimated Administrative and Staff Salary</t>
  </si>
  <si>
    <t>Estimated Faculty Salary</t>
  </si>
  <si>
    <t>Number of Instructional Designers</t>
  </si>
  <si>
    <t>Number of Administrative and Staff</t>
  </si>
  <si>
    <t>Estimated IT Resource Salary</t>
  </si>
  <si>
    <t>Total</t>
  </si>
  <si>
    <t>Estimated Salary Support</t>
  </si>
  <si>
    <t>Adjust to value which best fits specific program needs</t>
  </si>
  <si>
    <t>IT Resources recommended</t>
  </si>
  <si>
    <t>IT Resource salary</t>
  </si>
  <si>
    <t>Potential IT Resource support</t>
  </si>
  <si>
    <t>Administration &amp; Support Staff</t>
  </si>
  <si>
    <t>Ongoing Maintenance ($/Hour)</t>
  </si>
  <si>
    <t>Ongoing Maintenance Expense</t>
  </si>
  <si>
    <t>Tier 1 Support</t>
  </si>
  <si>
    <t>Tier 2 Support</t>
  </si>
  <si>
    <t>Tier 3 Support</t>
  </si>
  <si>
    <t>Tier 1 Support ($/hr.)</t>
  </si>
  <si>
    <t>Tier 2 Support ($/hr.)</t>
  </si>
  <si>
    <t>Tier 3 Support ($/hr.)</t>
  </si>
  <si>
    <t>Estimated IT Student Support</t>
  </si>
  <si>
    <t>Faculty support per course (% of Salary)</t>
  </si>
  <si>
    <t>Region</t>
  </si>
  <si>
    <t>All 50 states &amp; territories</t>
  </si>
  <si>
    <t>Initial Program Fee Estimate</t>
  </si>
  <si>
    <t>Program Renewal Fee Estimate</t>
  </si>
  <si>
    <t>Financial Aid Expense? Based on student headcount?</t>
  </si>
  <si>
    <t>Student Financials and Records Expense? How based?</t>
  </si>
  <si>
    <t>Includes workstations and ongoing phone (desk) and data connections at Emory. Faculty are not included in FTE count.</t>
  </si>
  <si>
    <t>Total Annual IT Support Expense</t>
  </si>
  <si>
    <t>Professional Website Design</t>
  </si>
  <si>
    <t>Pulls From Financial Aid Expense Tab</t>
  </si>
  <si>
    <t>Revenue</t>
  </si>
  <si>
    <t>Salary Costs</t>
  </si>
  <si>
    <t>Marketing</t>
  </si>
  <si>
    <t>Enrollment</t>
  </si>
  <si>
    <t>Help Text</t>
  </si>
  <si>
    <t>What is the initial enrollment number for the first year?</t>
  </si>
  <si>
    <t>What are projected student fees the program will keep? Will fees increase over 5 years?</t>
  </si>
  <si>
    <t xml:space="preserve">Depending on the length of the program, year 3 may be a steady state enrollment number or still increasing. </t>
  </si>
  <si>
    <t xml:space="preserve">Depending on the length of the program, year 4 may be a steady state enrollment number or still increasing. </t>
  </si>
  <si>
    <t xml:space="preserve">Depending on the length of the program, year 5 may be a steady state enrollment number or still increasing. </t>
  </si>
  <si>
    <t>Fringe increase estimation of .25% per year applied?</t>
  </si>
  <si>
    <t>What projected % will fees increase yearly?</t>
  </si>
  <si>
    <t xml:space="preserve">What is the estimated Administrative &amp; Staff salary for year 1? </t>
  </si>
  <si>
    <t>Student Enrollment Year 1 (Total # Students)</t>
  </si>
  <si>
    <t>Student Enrollment Year 2 (Total # Students)</t>
  </si>
  <si>
    <t>Student Enrollment Year 3 (Total # Students)</t>
  </si>
  <si>
    <t>Student Enrollment Year 4 (Total # Students)</t>
  </si>
  <si>
    <t>Fringe Rate From FY2015</t>
  </si>
  <si>
    <t>What is the cumulative enrollment number for year 1 and year 2?</t>
  </si>
  <si>
    <t>What projected % will tuition increase yearly?</t>
  </si>
  <si>
    <t>Estimated Salary Increase Yearly</t>
  </si>
  <si>
    <t>Financial Aid</t>
  </si>
  <si>
    <t>Student Registration</t>
  </si>
  <si>
    <t>State Authorization</t>
  </si>
  <si>
    <t>OGC Costs?</t>
  </si>
  <si>
    <t>IT Support?</t>
  </si>
  <si>
    <t>Estimated % Increase (Decrease)</t>
  </si>
  <si>
    <t>Estimated Maintenance (Hour/Year)</t>
  </si>
  <si>
    <t>Website Design</t>
  </si>
  <si>
    <t>What will the advertising and marketing budget be?</t>
  </si>
  <si>
    <t>Will the Budget increase or decrease through year 5?</t>
  </si>
  <si>
    <t>What ongoing and incidental supplies will be necessary?</t>
  </si>
  <si>
    <t>Annual LITS Support Per Student (hrs.)</t>
  </si>
  <si>
    <t>Admissions Activities</t>
  </si>
  <si>
    <t>Fringe Expense</t>
  </si>
  <si>
    <t>What projected % will salary increase yearly?</t>
  </si>
  <si>
    <t>What projected % will Fringe increase yearly?</t>
  </si>
  <si>
    <t>Salary Expense Estimations</t>
  </si>
  <si>
    <t>Estimated Yearly Increase</t>
  </si>
  <si>
    <t>How many FTEs are needed? When will more be required?</t>
  </si>
  <si>
    <t>Student Enrollment Year 5 (Total # Students)</t>
  </si>
  <si>
    <t>Third Party Fee % (if applicable)</t>
  </si>
  <si>
    <t>State Authorization Fee(s)</t>
  </si>
  <si>
    <t>State Authorization Fee Estimate</t>
  </si>
  <si>
    <t>Admissions Expense</t>
  </si>
  <si>
    <t>Subtotal: Operating Expenses</t>
  </si>
  <si>
    <t>Total Expenses</t>
  </si>
  <si>
    <t>EXPENSES</t>
  </si>
  <si>
    <t>If utilizing a third party vendor with revenue sharing, what is the agreed upon revenue sharing percentage?</t>
  </si>
  <si>
    <t>Revenue Estimation</t>
  </si>
  <si>
    <t>Subsequent  Review Expense Subtotal</t>
  </si>
  <si>
    <t>Initial Review Expense Subtotal</t>
  </si>
  <si>
    <t>Total Application Review Activity Expense</t>
  </si>
  <si>
    <t>State Authorization Expense</t>
  </si>
  <si>
    <t>1)</t>
  </si>
  <si>
    <t>2)</t>
  </si>
  <si>
    <t>3)</t>
  </si>
  <si>
    <t>.</t>
  </si>
  <si>
    <t>Admissions Activity Expense</t>
  </si>
  <si>
    <t>Annual Tuition (Year 1)</t>
  </si>
  <si>
    <t>Annual Retained Student Fees (Year 1)</t>
  </si>
  <si>
    <t>Estimate per student (annual)</t>
  </si>
  <si>
    <t>Third Party Fee (if applicable)</t>
  </si>
  <si>
    <t>Tuition Rate Increase (annual)</t>
  </si>
  <si>
    <t>Fee Rate Increase (annual)</t>
  </si>
  <si>
    <t>Other General Expenses Estimation</t>
  </si>
  <si>
    <t>Estimated FTES Year 2 onward</t>
  </si>
  <si>
    <t>Supplies per student/year</t>
  </si>
  <si>
    <r>
      <t xml:space="preserve">Office Supplies &amp; Postage </t>
    </r>
    <r>
      <rPr>
        <sz val="10"/>
        <rFont val="Arial"/>
      </rPr>
      <t>(estimated on a student enrollment basis)</t>
    </r>
  </si>
  <si>
    <t>Student IT Support - LITS student and faculty support may be defrayed by program specific resources or hosted solution</t>
  </si>
  <si>
    <t>Georgia's Neighboring States</t>
  </si>
  <si>
    <t>4)</t>
  </si>
  <si>
    <t>Assumption: Tuition increases at assumption rate from Summary Input Page</t>
  </si>
  <si>
    <t xml:space="preserve">Assumption: Program will levy program specific student fees </t>
  </si>
  <si>
    <t>Program Endowment or Gifts (directly input here if applicable)</t>
  </si>
  <si>
    <t xml:space="preserve">State Authorization, as of January 2015, was not fully implemented and the laws were under review. </t>
  </si>
  <si>
    <t>Fringe Rate Increase (annual)</t>
  </si>
  <si>
    <t>Data Connection Fee</t>
  </si>
  <si>
    <t>Marketing Expense</t>
  </si>
  <si>
    <t>Speak with Enrollment Services for the most up-to-date fees and authorized states.</t>
  </si>
  <si>
    <t>There may be institutional and program specific costs for states where Emory is not currently authorized to provide distance based education.</t>
  </si>
  <si>
    <t xml:space="preserve">Many states have tiered pricing  which changes based on the number of authorized programs the University offers. </t>
  </si>
  <si>
    <t>Work Hours per year</t>
  </si>
  <si>
    <t>5 year Outlook</t>
  </si>
  <si>
    <t>Note: It is suggested that every worksheet be reviewed to address the potential nuances of a specific program.</t>
  </si>
  <si>
    <t>What is the projected annual tuition? Will it increase over 5 years?</t>
  </si>
  <si>
    <t>Estimated Instructional Designer Salary (annual)</t>
  </si>
  <si>
    <t>Estimated Administrative and Staff Salary (annual)</t>
  </si>
  <si>
    <t>Estimated IT Resource Salary (annual)</t>
  </si>
  <si>
    <t>Program Specific Cost 1</t>
  </si>
  <si>
    <t>Program Specific Cost 2</t>
  </si>
  <si>
    <t>Program Specific Cost 3</t>
  </si>
  <si>
    <t>Program Specific Cost 4</t>
  </si>
  <si>
    <t>Revenue Sharing Third Party Fee</t>
  </si>
  <si>
    <t>Admission Application Fee</t>
  </si>
  <si>
    <t>Application Fee Revenue Total</t>
  </si>
  <si>
    <t>Program Specific Costs</t>
  </si>
  <si>
    <t>Total Program Specific Costs</t>
  </si>
  <si>
    <r>
      <t xml:space="preserve">As of January 2015, laws dictate that a program must apply with </t>
    </r>
    <r>
      <rPr>
        <b/>
        <sz val="10"/>
        <rFont val="Arial"/>
        <family val="2"/>
      </rPr>
      <t>EACH STATE</t>
    </r>
    <r>
      <rPr>
        <sz val="10"/>
        <rFont val="Arial"/>
      </rPr>
      <t xml:space="preserve"> in which a distance based program participant resides.</t>
    </r>
  </si>
  <si>
    <t>Annual Tuition per Student (Year 1)</t>
  </si>
  <si>
    <t>Admission Application Fee per Applicant</t>
  </si>
  <si>
    <t>Annual Fees per Student Retained by Program (Year 1)</t>
  </si>
  <si>
    <t>NOTE: Cost Allocation is not included in this initial Pro Forma Analysis. Be sure to consult you Chief Business Officer and include and calculate potential cost allocation increases.</t>
  </si>
  <si>
    <t>Estimated Faculty Salary per Person (annual)</t>
  </si>
  <si>
    <t># of Faculty (FTE)</t>
  </si>
  <si>
    <t># of Instructional Designer(s) (FTE)</t>
  </si>
  <si>
    <t xml:space="preserve"># of Administrative/Staff (FTE) </t>
  </si>
  <si>
    <t># of IT Resource(s) (FTE)</t>
  </si>
  <si>
    <t xml:space="preserve">Expected Number of Applications </t>
  </si>
  <si>
    <t>How many students are estimated to apply per year?</t>
  </si>
  <si>
    <t>Pulls from Summary Input Page</t>
  </si>
  <si>
    <t>Throughout the worksheets - Numbers in this blue bold font &amp; yellow highlight are estimated figures intended to be changed to fit anticipated program size and needs.</t>
  </si>
  <si>
    <t>Annual Fees per Student Retained by Program</t>
  </si>
  <si>
    <t>(FTE # pulled from salary expense estimation tab &amp; excludes faculty)</t>
  </si>
  <si>
    <t>Standard Full Time Equivalent (FTE) = 52*40 = 2080 hours</t>
  </si>
  <si>
    <t xml:space="preserve"> Financial Considerations Worksheet</t>
  </si>
  <si>
    <t>What will admission application fee be for the program?</t>
  </si>
  <si>
    <r>
      <t xml:space="preserve">Assuming School based program, there may not be a space specific charge </t>
    </r>
    <r>
      <rPr>
        <i/>
        <sz val="10"/>
        <rFont val="Arial"/>
        <family val="2"/>
      </rPr>
      <t>per se</t>
    </r>
    <r>
      <rPr>
        <sz val="10"/>
        <rFont val="Arial"/>
      </rPr>
      <t>, but it is important to consider the opportunity cost of the utilized space from both a financial and programmatic perspective. Below is an estimation for standard Emory space pricing and assumes no growth.</t>
    </r>
  </si>
  <si>
    <t>What is the estimated salary expense for faculty in year 1?</t>
  </si>
  <si>
    <t>What is the estimated Instructional Designer salary for year 1? It is suggested to have one ID per Track of each program.</t>
  </si>
  <si>
    <t>What is the estimated IT resource salary for year 1? It is suggested to have IT resources available for an online program.</t>
  </si>
  <si>
    <t>There are state specific applications and fees for offering new  distance or online programs.</t>
  </si>
  <si>
    <t>This option is intended to incorporate costs not already included in the prof forma.</t>
  </si>
  <si>
    <t>Applies percentage increase to above salary annually.</t>
  </si>
  <si>
    <t>Year 1 pulls from Summary input page. Year 2 onward should be adjusted here.</t>
  </si>
  <si>
    <t>Pulls from Summary Input Page.</t>
  </si>
  <si>
    <t>Yearly calculation for faculty salary.</t>
  </si>
  <si>
    <t>Yearly calculation for instructional designer salary.</t>
  </si>
  <si>
    <t>Yearly calculation for administrative and staff salary.</t>
  </si>
  <si>
    <t>Yearly calculation for IT resource salary.</t>
  </si>
  <si>
    <t>Subtotal of all salaries.</t>
  </si>
  <si>
    <t>Fringe calculated on total salary.</t>
  </si>
  <si>
    <t>Adjust total space and cost per square foot here to calculate opportunity cost of the space used.</t>
  </si>
  <si>
    <t>Estimated cost for computer and screen(s).</t>
  </si>
  <si>
    <t>Current Cost  (FY2015)for Avaya VOIP phone.</t>
  </si>
  <si>
    <t>Estimated cost for cell phone.</t>
  </si>
  <si>
    <t>Current cost (FY2015) for LITS to activate data jack.</t>
  </si>
  <si>
    <t>Estimated ongoing cell phone charges.</t>
  </si>
  <si>
    <t>Current cost (FY2015) for data connection.</t>
  </si>
  <si>
    <t>Pulls from Summary Input Tab.</t>
  </si>
  <si>
    <t>Annual percentage increase or decrease in program marketing budget.</t>
  </si>
  <si>
    <t>Estimated charge per hour of service.</t>
  </si>
  <si>
    <t>Estimated total hours of service.</t>
  </si>
  <si>
    <t>Included LITS services.</t>
  </si>
  <si>
    <t>Added layer of IT support not included in LITS services.</t>
  </si>
  <si>
    <t>Estimated hours per year.</t>
  </si>
  <si>
    <t>Calculated IT support expenses.</t>
  </si>
  <si>
    <r>
      <t xml:space="preserve">Below is an </t>
    </r>
    <r>
      <rPr>
        <b/>
        <sz val="10"/>
        <rFont val="Arial"/>
        <family val="2"/>
      </rPr>
      <t>ESTIMATE</t>
    </r>
    <r>
      <rPr>
        <sz val="10"/>
        <rFont val="Arial"/>
      </rPr>
      <t xml:space="preserve"> of fees for processing state authorization and includes the time-intensive application process.</t>
    </r>
  </si>
  <si>
    <t>Estimated costs for program inclusion and annual renewal fees.</t>
  </si>
  <si>
    <t>Estimate of time in hours to review one application.</t>
  </si>
  <si>
    <t>Standard FTE calculation.</t>
  </si>
  <si>
    <t>Estimate of initial admissions reviewer salary.</t>
  </si>
  <si>
    <t>Estimate of secondary reviewer salary.</t>
  </si>
  <si>
    <t>Initial application review time calculation.</t>
  </si>
  <si>
    <t>Initial application review time converted into FTE measure.</t>
  </si>
  <si>
    <t>Annualized initial review costs.</t>
  </si>
  <si>
    <t>Fringe calculation.</t>
  </si>
  <si>
    <t>Initial application review expense.</t>
  </si>
  <si>
    <t>Subsequent application review time calculation.</t>
  </si>
  <si>
    <t>Subsequent application review time converted into FTE measure.</t>
  </si>
  <si>
    <t>Annualized subsequent review costs.</t>
  </si>
  <si>
    <t>Subsequent application review expense.</t>
  </si>
  <si>
    <t>Total admissions activity expense calculation.</t>
  </si>
  <si>
    <t>Estimated tuition increases yearly by tuition increase rate.</t>
  </si>
  <si>
    <t>Estimated tuition revenue annually.</t>
  </si>
  <si>
    <t>Estimated application fee revenue.</t>
  </si>
  <si>
    <t>Estimated Annual Fees per Student Retained by Program increases yearly by fee rate increase.</t>
  </si>
  <si>
    <t>Estimated fee revenue annually.</t>
  </si>
  <si>
    <t>Revenue sharing amount disbursed to a third party if an agreement is in place.</t>
  </si>
  <si>
    <t>Pulls from Revenue Estimation Tab.</t>
  </si>
  <si>
    <t>Summation of above revenue components.</t>
  </si>
  <si>
    <t>Pulls from Salary Expense Tab.</t>
  </si>
  <si>
    <t>Pulls From State Authorization Tab.</t>
  </si>
  <si>
    <t>Pulls From Admission Activity Expense Tab.</t>
  </si>
  <si>
    <t>Summation of above operating expenses.</t>
  </si>
  <si>
    <t>Pulls From Other General Expense.</t>
  </si>
  <si>
    <t>Summation of above general and administrative expense.</t>
  </si>
  <si>
    <t>Summation of above program specific fees.</t>
  </si>
  <si>
    <t>Summation of all expenses.</t>
  </si>
  <si>
    <t>Input any program endowment or gifts here.</t>
  </si>
  <si>
    <t>Total revenues minus total expenses.</t>
  </si>
  <si>
    <t>This is the initial input page for the Financial Considerations Worksheet.  The Worksheet is NOT a one-size-fits-all solution. Each program will be different and the Worksheet is intended as a starting point to understand the five year outlook of financial viability, NOT a finalize figure.</t>
  </si>
  <si>
    <r>
      <t xml:space="preserve">Assumptions are noted on each subsequent worksheet. Examine each assumption to determine if a particular program's needs require assumption adjustments. Be sure to </t>
    </r>
    <r>
      <rPr>
        <b/>
        <sz val="14"/>
        <rFont val="Arial"/>
        <family val="2"/>
      </rPr>
      <t xml:space="preserve">consult your Chief Business Officer </t>
    </r>
    <r>
      <rPr>
        <sz val="14"/>
        <rFont val="Arial"/>
        <family val="2"/>
      </rPr>
      <t>in initial and further financial review to include all relevant expenses.</t>
    </r>
  </si>
  <si>
    <t xml:space="preserve">Resources for the creation and maintenance of website. All programs using distance learning must include cost estimates in this area. All websites must maintain Emory brand standards.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</si>
</sst>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0_)"/>
    <numFmt numFmtId="171" formatCode="_(&quot;$&quot;* #,##0_);_(&quot;$&quot;* \(#,##0\);_(&quot;$&quot;* &quot;-&quot;??_);_(@_)"/>
    <numFmt numFmtId="172" formatCode="_(* #,##0_);_(* \(#,##0\);_(* &quot;-&quot;??_);_(@_)"/>
    <numFmt numFmtId="173" formatCode="_(* #,##0.000_);_(* \(#,##0.000\);_(* &quot;-&quot;??_);_(@_)"/>
    <numFmt numFmtId="174" formatCode="&quot;$&quot;#,##0.0_);[Red]\(&quot;$&quot;#,##0.0\)"/>
  </numFmts>
  <fonts count="5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0"/>
      <color theme="3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sz val="11"/>
      <color theme="3"/>
      <name val="Arial"/>
      <family val="2"/>
    </font>
    <font>
      <b/>
      <sz val="18"/>
      <color theme="3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3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theme="3"/>
      <name val="Arial"/>
      <family val="2"/>
    </font>
    <font>
      <b/>
      <i/>
      <sz val="11"/>
      <name val="Arial"/>
      <family val="2"/>
    </font>
    <font>
      <i/>
      <sz val="14"/>
      <name val="Arial"/>
      <family val="2"/>
    </font>
    <font>
      <i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  <fill>
      <patternFill patternType="solid">
        <fgColor indexed="47"/>
        <bgColor indexed="26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77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2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37" fontId="4" fillId="16" borderId="1" applyBorder="0" applyProtection="0">
      <alignment vertical="center"/>
    </xf>
    <xf numFmtId="0" fontId="21" fillId="17" borderId="0" applyNumberFormat="0" applyBorder="0" applyAlignment="0" applyProtection="0"/>
    <xf numFmtId="5" fontId="5" fillId="0" borderId="2">
      <protection locked="0"/>
    </xf>
    <xf numFmtId="0" fontId="6" fillId="18" borderId="0" applyBorder="0">
      <alignment horizontal="left" vertical="center" indent="1"/>
    </xf>
    <xf numFmtId="0" fontId="22" fillId="4" borderId="3" applyNumberFormat="0" applyAlignment="0" applyProtection="0"/>
    <xf numFmtId="0" fontId="23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7" fillId="0" borderId="5"/>
    <xf numFmtId="4" fontId="5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5" fillId="6" borderId="0" applyNumberFormat="0" applyBorder="0" applyAlignment="0" applyProtection="0"/>
    <xf numFmtId="4" fontId="5" fillId="21" borderId="5"/>
    <xf numFmtId="43" fontId="8" fillId="0" borderId="6"/>
    <xf numFmtId="37" fontId="9" fillId="22" borderId="2" applyBorder="0">
      <alignment horizontal="left" vertical="center" indent="1"/>
    </xf>
    <xf numFmtId="37" fontId="10" fillId="23" borderId="7" applyFill="0">
      <alignment vertical="center"/>
    </xf>
    <xf numFmtId="0" fontId="10" fillId="24" borderId="8" applyNumberFormat="0">
      <alignment horizontal="left" vertical="top" indent="1"/>
    </xf>
    <xf numFmtId="0" fontId="10" fillId="16" borderId="0" applyBorder="0">
      <alignment horizontal="left" vertical="center" indent="1"/>
    </xf>
    <xf numFmtId="0" fontId="10" fillId="0" borderId="8" applyNumberFormat="0" applyFill="0">
      <alignment horizontal="centerContinuous" vertical="top"/>
    </xf>
    <xf numFmtId="0" fontId="11" fillId="0" borderId="0" applyNumberFormat="0" applyFont="0" applyFill="0" applyAlignment="0" applyProtection="0"/>
    <xf numFmtId="0" fontId="12" fillId="0" borderId="0" applyNumberFormat="0" applyFon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3" applyNumberFormat="0" applyAlignment="0" applyProtection="0"/>
    <xf numFmtId="43" fontId="8" fillId="0" borderId="10"/>
    <xf numFmtId="0" fontId="28" fillId="0" borderId="11" applyNumberFormat="0" applyFill="0" applyAlignment="0" applyProtection="0"/>
    <xf numFmtId="44" fontId="8" fillId="0" borderId="12"/>
    <xf numFmtId="0" fontId="29" fillId="7" borderId="0" applyNumberFormat="0" applyBorder="0" applyAlignment="0" applyProtection="0"/>
    <xf numFmtId="0" fontId="13" fillId="23" borderId="0">
      <alignment horizontal="left" wrapText="1" indent="1"/>
    </xf>
    <xf numFmtId="37" fontId="4" fillId="16" borderId="13" applyBorder="0">
      <alignment horizontal="left" vertical="center" indent="2"/>
    </xf>
    <xf numFmtId="0" fontId="14" fillId="0" borderId="0"/>
    <xf numFmtId="0" fontId="1" fillId="7" borderId="14" applyNumberFormat="0" applyFont="0" applyAlignment="0" applyProtection="0"/>
    <xf numFmtId="0" fontId="30" fillId="4" borderId="15" applyNumberFormat="0" applyAlignment="0" applyProtection="0"/>
    <xf numFmtId="169" fontId="15" fillId="25" borderId="16"/>
    <xf numFmtId="168" fontId="15" fillId="0" borderId="16" applyFont="0" applyFill="0" applyBorder="0" applyAlignment="0" applyProtection="0">
      <protection locked="0"/>
    </xf>
    <xf numFmtId="2" fontId="16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7" fillId="0" borderId="0">
      <alignment horizontal="right"/>
    </xf>
    <xf numFmtId="0" fontId="18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/>
    <xf numFmtId="0" fontId="2" fillId="24" borderId="0" xfId="0" applyFont="1" applyFill="1" applyProtection="1"/>
    <xf numFmtId="0" fontId="3" fillId="28" borderId="0" xfId="0" applyFont="1" applyFill="1" applyAlignment="1" applyProtection="1">
      <alignment vertical="center"/>
    </xf>
    <xf numFmtId="0" fontId="2" fillId="28" borderId="0" xfId="0" applyFont="1" applyFill="1" applyProtection="1"/>
    <xf numFmtId="6" fontId="2" fillId="27" borderId="0" xfId="0" applyNumberFormat="1" applyFont="1" applyFill="1" applyProtection="1">
      <protection locked="0"/>
    </xf>
    <xf numFmtId="6" fontId="2" fillId="28" borderId="0" xfId="0" applyNumberFormat="1" applyFont="1" applyFill="1" applyProtection="1"/>
    <xf numFmtId="6" fontId="2" fillId="28" borderId="18" xfId="0" applyNumberFormat="1" applyFont="1" applyFill="1" applyBorder="1" applyProtection="1"/>
    <xf numFmtId="38" fontId="2" fillId="27" borderId="0" xfId="0" applyNumberFormat="1" applyFont="1" applyFill="1" applyProtection="1">
      <protection locked="0"/>
    </xf>
    <xf numFmtId="6" fontId="2" fillId="28" borderId="19" xfId="0" applyNumberFormat="1" applyFont="1" applyFill="1" applyBorder="1" applyAlignment="1" applyProtection="1">
      <alignment vertical="center"/>
    </xf>
    <xf numFmtId="0" fontId="1" fillId="24" borderId="0" xfId="0" applyFont="1" applyFill="1" applyProtection="1"/>
    <xf numFmtId="170" fontId="1" fillId="29" borderId="0" xfId="0" applyNumberFormat="1" applyFont="1" applyFill="1" applyAlignment="1" applyProtection="1">
      <alignment vertical="center"/>
      <protection locked="0"/>
    </xf>
    <xf numFmtId="170" fontId="1" fillId="28" borderId="0" xfId="0" applyNumberFormat="1" applyFont="1" applyFill="1" applyAlignment="1" applyProtection="1">
      <alignment vertical="center"/>
    </xf>
    <xf numFmtId="0" fontId="1" fillId="0" borderId="0" xfId="0" applyFont="1"/>
    <xf numFmtId="0" fontId="3" fillId="0" borderId="0" xfId="0" applyFont="1"/>
    <xf numFmtId="44" fontId="3" fillId="0" borderId="0" xfId="0" applyNumberFormat="1" applyFont="1"/>
    <xf numFmtId="0" fontId="33" fillId="0" borderId="26" xfId="0" applyFont="1" applyBorder="1"/>
    <xf numFmtId="44" fontId="2" fillId="27" borderId="0" xfId="0" applyNumberFormat="1" applyFont="1" applyFill="1" applyProtection="1">
      <protection locked="0"/>
    </xf>
    <xf numFmtId="0" fontId="3" fillId="0" borderId="20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22" xfId="0" applyFont="1" applyBorder="1"/>
    <xf numFmtId="0" fontId="33" fillId="0" borderId="23" xfId="0" applyFont="1" applyBorder="1"/>
    <xf numFmtId="171" fontId="33" fillId="0" borderId="23" xfId="75" applyNumberFormat="1" applyFont="1" applyBorder="1"/>
    <xf numFmtId="0" fontId="3" fillId="0" borderId="24" xfId="0" applyFont="1" applyBorder="1"/>
    <xf numFmtId="171" fontId="0" fillId="0" borderId="25" xfId="75" applyNumberFormat="1" applyFont="1" applyBorder="1"/>
    <xf numFmtId="43" fontId="0" fillId="0" borderId="23" xfId="74" applyFont="1" applyBorder="1"/>
    <xf numFmtId="3" fontId="33" fillId="0" borderId="23" xfId="0" applyNumberFormat="1" applyFont="1" applyBorder="1"/>
    <xf numFmtId="44" fontId="0" fillId="0" borderId="25" xfId="75" applyFont="1" applyBorder="1"/>
    <xf numFmtId="0" fontId="1" fillId="0" borderId="20" xfId="0" applyFont="1" applyBorder="1"/>
    <xf numFmtId="0" fontId="1" fillId="0" borderId="6" xfId="0" applyFont="1" applyBorder="1"/>
    <xf numFmtId="0" fontId="1" fillId="0" borderId="21" xfId="0" applyFont="1" applyBorder="1"/>
    <xf numFmtId="0" fontId="0" fillId="0" borderId="0" xfId="0" applyBorder="1"/>
    <xf numFmtId="0" fontId="33" fillId="0" borderId="0" xfId="0" applyFont="1" applyBorder="1"/>
    <xf numFmtId="0" fontId="0" fillId="0" borderId="27" xfId="0" applyBorder="1"/>
    <xf numFmtId="0" fontId="1" fillId="0" borderId="24" xfId="0" applyFont="1" applyBorder="1"/>
    <xf numFmtId="0" fontId="0" fillId="0" borderId="8" xfId="0" applyBorder="1"/>
    <xf numFmtId="0" fontId="0" fillId="0" borderId="25" xfId="0" applyBorder="1"/>
    <xf numFmtId="9" fontId="33" fillId="0" borderId="25" xfId="0" applyNumberFormat="1" applyFont="1" applyBorder="1"/>
    <xf numFmtId="2" fontId="0" fillId="0" borderId="23" xfId="0" applyNumberFormat="1" applyBorder="1"/>
    <xf numFmtId="171" fontId="0" fillId="0" borderId="0" xfId="0" applyNumberFormat="1"/>
    <xf numFmtId="44" fontId="0" fillId="0" borderId="0" xfId="75" applyNumberFormat="1" applyFont="1"/>
    <xf numFmtId="44" fontId="0" fillId="0" borderId="0" xfId="0" applyNumberFormat="1"/>
    <xf numFmtId="171" fontId="0" fillId="0" borderId="28" xfId="75" applyNumberFormat="1" applyFont="1" applyBorder="1"/>
    <xf numFmtId="171" fontId="0" fillId="0" borderId="28" xfId="0" applyNumberFormat="1" applyBorder="1"/>
    <xf numFmtId="0" fontId="0" fillId="30" borderId="0" xfId="0" applyFill="1"/>
    <xf numFmtId="0" fontId="1" fillId="0" borderId="0" xfId="0" applyFont="1" applyProtection="1"/>
    <xf numFmtId="0" fontId="1" fillId="0" borderId="0" xfId="0" applyFont="1" applyBorder="1"/>
    <xf numFmtId="171" fontId="2" fillId="27" borderId="0" xfId="75" applyNumberFormat="1" applyFont="1" applyFill="1" applyProtection="1">
      <protection locked="0"/>
    </xf>
    <xf numFmtId="171" fontId="0" fillId="0" borderId="0" xfId="75" applyNumberFormat="1" applyFont="1"/>
    <xf numFmtId="172" fontId="0" fillId="0" borderId="0" xfId="74" applyNumberFormat="1" applyFont="1"/>
    <xf numFmtId="44" fontId="0" fillId="0" borderId="0" xfId="75" applyFont="1"/>
    <xf numFmtId="173" fontId="0" fillId="0" borderId="0" xfId="0" applyNumberFormat="1"/>
    <xf numFmtId="44" fontId="0" fillId="0" borderId="28" xfId="75" applyFont="1" applyBorder="1"/>
    <xf numFmtId="0" fontId="3" fillId="24" borderId="20" xfId="0" applyFont="1" applyFill="1" applyBorder="1" applyProtection="1"/>
    <xf numFmtId="0" fontId="0" fillId="0" borderId="6" xfId="0" applyBorder="1"/>
    <xf numFmtId="170" fontId="1" fillId="29" borderId="0" xfId="0" applyNumberFormat="1" applyFont="1" applyFill="1" applyBorder="1" applyAlignment="1" applyProtection="1">
      <alignment vertical="center"/>
      <protection locked="0"/>
    </xf>
    <xf numFmtId="170" fontId="1" fillId="28" borderId="0" xfId="0" applyNumberFormat="1" applyFont="1" applyFill="1" applyBorder="1" applyAlignment="1" applyProtection="1">
      <alignment vertical="center"/>
    </xf>
    <xf numFmtId="170" fontId="1" fillId="28" borderId="23" xfId="0" applyNumberFormat="1" applyFont="1" applyFill="1" applyBorder="1" applyAlignment="1" applyProtection="1">
      <alignment vertical="center"/>
    </xf>
    <xf numFmtId="171" fontId="0" fillId="0" borderId="0" xfId="0" applyNumberFormat="1" applyBorder="1"/>
    <xf numFmtId="171" fontId="0" fillId="0" borderId="23" xfId="0" applyNumberFormat="1" applyBorder="1"/>
    <xf numFmtId="171" fontId="33" fillId="0" borderId="0" xfId="75" applyNumberFormat="1" applyFont="1" applyBorder="1"/>
    <xf numFmtId="171" fontId="0" fillId="0" borderId="8" xfId="75" applyNumberFormat="1" applyFont="1" applyBorder="1"/>
    <xf numFmtId="43" fontId="0" fillId="0" borderId="0" xfId="74" applyFont="1" applyBorder="1"/>
    <xf numFmtId="0" fontId="3" fillId="0" borderId="22" xfId="0" applyFont="1" applyBorder="1"/>
    <xf numFmtId="171" fontId="0" fillId="0" borderId="0" xfId="75" applyNumberFormat="1" applyFont="1" applyBorder="1"/>
    <xf numFmtId="171" fontId="0" fillId="0" borderId="23" xfId="75" applyNumberFormat="1" applyFont="1" applyBorder="1"/>
    <xf numFmtId="170" fontId="1" fillId="29" borderId="6" xfId="0" applyNumberFormat="1" applyFont="1" applyFill="1" applyBorder="1" applyAlignment="1" applyProtection="1">
      <alignment vertical="center"/>
      <protection locked="0"/>
    </xf>
    <xf numFmtId="170" fontId="1" fillId="28" borderId="6" xfId="0" applyNumberFormat="1" applyFont="1" applyFill="1" applyBorder="1" applyAlignment="1" applyProtection="1">
      <alignment vertical="center"/>
    </xf>
    <xf numFmtId="170" fontId="1" fillId="28" borderId="21" xfId="0" applyNumberFormat="1" applyFont="1" applyFill="1" applyBorder="1" applyAlignment="1" applyProtection="1">
      <alignment vertical="center"/>
    </xf>
    <xf numFmtId="171" fontId="33" fillId="0" borderId="8" xfId="75" applyNumberFormat="1" applyFont="1" applyBorder="1"/>
    <xf numFmtId="8" fontId="0" fillId="0" borderId="8" xfId="0" applyNumberFormat="1" applyBorder="1"/>
    <xf numFmtId="6" fontId="0" fillId="0" borderId="8" xfId="0" applyNumberFormat="1" applyBorder="1"/>
    <xf numFmtId="6" fontId="0" fillId="0" borderId="25" xfId="0" applyNumberFormat="1" applyBorder="1"/>
    <xf numFmtId="0" fontId="0" fillId="0" borderId="20" xfId="0" applyBorder="1"/>
    <xf numFmtId="43" fontId="33" fillId="0" borderId="8" xfId="74" applyNumberFormat="1" applyFont="1" applyBorder="1"/>
    <xf numFmtId="171" fontId="0" fillId="0" borderId="6" xfId="75" applyNumberFormat="1" applyFont="1" applyBorder="1"/>
    <xf numFmtId="171" fontId="33" fillId="0" borderId="6" xfId="75" applyNumberFormat="1" applyFont="1" applyBorder="1"/>
    <xf numFmtId="171" fontId="1" fillId="0" borderId="0" xfId="0" applyNumberFormat="1" applyFont="1"/>
    <xf numFmtId="0" fontId="1" fillId="0" borderId="0" xfId="0" applyFont="1" applyFill="1" applyBorder="1"/>
    <xf numFmtId="44" fontId="0" fillId="0" borderId="26" xfId="0" applyNumberFormat="1" applyBorder="1"/>
    <xf numFmtId="0" fontId="1" fillId="0" borderId="22" xfId="0" applyFont="1" applyFill="1" applyBorder="1"/>
    <xf numFmtId="171" fontId="0" fillId="0" borderId="8" xfId="0" applyNumberFormat="1" applyBorder="1"/>
    <xf numFmtId="171" fontId="0" fillId="0" borderId="25" xfId="0" applyNumberFormat="1" applyBorder="1"/>
    <xf numFmtId="0" fontId="33" fillId="0" borderId="21" xfId="0" applyFont="1" applyBorder="1"/>
    <xf numFmtId="0" fontId="0" fillId="0" borderId="0" xfId="0" applyAlignment="1">
      <alignment horizontal="left" indent="1"/>
    </xf>
    <xf numFmtId="0" fontId="3" fillId="0" borderId="0" xfId="0" applyFont="1" applyProtection="1"/>
    <xf numFmtId="9" fontId="33" fillId="0" borderId="23" xfId="76" applyFont="1" applyBorder="1"/>
    <xf numFmtId="0" fontId="1" fillId="0" borderId="24" xfId="0" applyFont="1" applyFill="1" applyBorder="1"/>
    <xf numFmtId="38" fontId="2" fillId="31" borderId="0" xfId="0" applyNumberFormat="1" applyFont="1" applyFill="1" applyProtection="1">
      <protection locked="0"/>
    </xf>
    <xf numFmtId="43" fontId="33" fillId="0" borderId="0" xfId="0" applyNumberFormat="1" applyFont="1" applyBorder="1"/>
    <xf numFmtId="10" fontId="0" fillId="0" borderId="8" xfId="0" applyNumberFormat="1" applyBorder="1"/>
    <xf numFmtId="10" fontId="0" fillId="0" borderId="25" xfId="0" applyNumberFormat="1" applyBorder="1"/>
    <xf numFmtId="10" fontId="3" fillId="0" borderId="8" xfId="76" applyNumberFormat="1" applyFont="1" applyBorder="1"/>
    <xf numFmtId="171" fontId="3" fillId="0" borderId="0" xfId="75" applyNumberFormat="1" applyFont="1" applyBorder="1"/>
    <xf numFmtId="9" fontId="3" fillId="0" borderId="0" xfId="76" applyFont="1" applyBorder="1"/>
    <xf numFmtId="0" fontId="37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6" fontId="3" fillId="0" borderId="8" xfId="0" applyNumberFormat="1" applyFont="1" applyBorder="1"/>
    <xf numFmtId="0" fontId="1" fillId="0" borderId="29" xfId="0" applyFont="1" applyBorder="1"/>
    <xf numFmtId="171" fontId="2" fillId="32" borderId="0" xfId="75" applyNumberFormat="1" applyFont="1" applyFill="1" applyProtection="1">
      <protection locked="0"/>
    </xf>
    <xf numFmtId="0" fontId="3" fillId="28" borderId="0" xfId="0" applyFont="1" applyFill="1" applyProtection="1"/>
    <xf numFmtId="0" fontId="38" fillId="0" borderId="0" xfId="0" applyFont="1"/>
    <xf numFmtId="171" fontId="2" fillId="27" borderId="0" xfId="0" applyNumberFormat="1" applyFont="1" applyFill="1" applyProtection="1">
      <protection locked="0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/>
    </xf>
    <xf numFmtId="0" fontId="36" fillId="0" borderId="0" xfId="0" applyFont="1" applyFill="1" applyBorder="1" applyAlignment="1" applyProtection="1">
      <alignment horizontal="center"/>
    </xf>
    <xf numFmtId="0" fontId="38" fillId="0" borderId="0" xfId="0" applyFont="1" applyFill="1"/>
    <xf numFmtId="0" fontId="36" fillId="0" borderId="0" xfId="0" applyFont="1" applyFill="1" applyBorder="1" applyAlignment="1">
      <alignment horizontal="center"/>
    </xf>
    <xf numFmtId="0" fontId="12" fillId="0" borderId="0" xfId="0" applyFont="1"/>
    <xf numFmtId="0" fontId="36" fillId="0" borderId="8" xfId="0" applyFont="1" applyBorder="1"/>
    <xf numFmtId="0" fontId="38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38" fillId="0" borderId="0" xfId="0" applyFont="1" applyAlignment="1">
      <alignment horizontal="left" wrapText="1"/>
    </xf>
    <xf numFmtId="38" fontId="2" fillId="27" borderId="0" xfId="0" applyNumberFormat="1" applyFont="1" applyFill="1" applyBorder="1" applyProtection="1">
      <protection locked="0"/>
    </xf>
    <xf numFmtId="9" fontId="3" fillId="0" borderId="0" xfId="76" applyFont="1"/>
    <xf numFmtId="38" fontId="2" fillId="27" borderId="28" xfId="0" applyNumberFormat="1" applyFont="1" applyFill="1" applyBorder="1" applyProtection="1">
      <protection locked="0"/>
    </xf>
    <xf numFmtId="0" fontId="41" fillId="0" borderId="0" xfId="0" applyFont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left" vertical="top" wrapText="1"/>
    </xf>
    <xf numFmtId="0" fontId="41" fillId="0" borderId="0" xfId="0" applyFont="1" applyAlignment="1">
      <alignment horizontal="center" wrapText="1"/>
    </xf>
    <xf numFmtId="0" fontId="41" fillId="0" borderId="0" xfId="0" applyFont="1" applyAlignment="1">
      <alignment horizontal="left" wrapText="1"/>
    </xf>
    <xf numFmtId="0" fontId="44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top" wrapText="1"/>
    </xf>
    <xf numFmtId="0" fontId="42" fillId="0" borderId="0" xfId="0" applyFont="1" applyAlignment="1">
      <alignment horizontal="center" wrapText="1"/>
    </xf>
    <xf numFmtId="0" fontId="43" fillId="0" borderId="0" xfId="0" applyFont="1" applyAlignment="1">
      <alignment horizontal="center" vertical="top" wrapText="1"/>
    </xf>
    <xf numFmtId="0" fontId="40" fillId="0" borderId="0" xfId="0" applyFont="1" applyAlignment="1"/>
    <xf numFmtId="0" fontId="46" fillId="0" borderId="0" xfId="0" applyFont="1"/>
    <xf numFmtId="6" fontId="2" fillId="0" borderId="0" xfId="0" applyNumberFormat="1" applyFont="1" applyProtection="1"/>
    <xf numFmtId="0" fontId="3" fillId="0" borderId="0" xfId="0" applyFont="1" applyFill="1" applyBorder="1"/>
    <xf numFmtId="44" fontId="0" fillId="0" borderId="0" xfId="0" applyNumberFormat="1" applyFill="1"/>
    <xf numFmtId="44" fontId="0" fillId="0" borderId="0" xfId="75" applyFont="1" applyFill="1"/>
    <xf numFmtId="0" fontId="3" fillId="0" borderId="0" xfId="0" applyFont="1" applyAlignment="1">
      <alignment horizontal="left" indent="1"/>
    </xf>
    <xf numFmtId="9" fontId="3" fillId="0" borderId="0" xfId="0" applyNumberFormat="1" applyFont="1"/>
    <xf numFmtId="0" fontId="1" fillId="0" borderId="0" xfId="0" applyFont="1" applyFill="1" applyProtection="1"/>
    <xf numFmtId="0" fontId="1" fillId="0" borderId="0" xfId="0" applyFont="1" applyFill="1"/>
    <xf numFmtId="0" fontId="0" fillId="0" borderId="0" xfId="0" applyFill="1"/>
    <xf numFmtId="9" fontId="3" fillId="0" borderId="0" xfId="76" applyFont="1" applyFill="1"/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top" wrapText="1"/>
    </xf>
    <xf numFmtId="0" fontId="44" fillId="0" borderId="0" xfId="0" applyFont="1" applyAlignment="1">
      <alignment horizontal="left" vertical="top" wrapText="1"/>
    </xf>
    <xf numFmtId="171" fontId="2" fillId="24" borderId="0" xfId="75" applyNumberFormat="1" applyFont="1" applyFill="1" applyProtection="1"/>
    <xf numFmtId="171" fontId="2" fillId="28" borderId="0" xfId="0" applyNumberFormat="1" applyFont="1" applyFill="1" applyProtection="1"/>
    <xf numFmtId="0" fontId="38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71" fontId="3" fillId="0" borderId="0" xfId="75" applyNumberFormat="1" applyFont="1"/>
    <xf numFmtId="174" fontId="0" fillId="0" borderId="26" xfId="0" applyNumberFormat="1" applyBorder="1"/>
    <xf numFmtId="0" fontId="1" fillId="0" borderId="29" xfId="0" applyFont="1" applyFill="1" applyBorder="1"/>
    <xf numFmtId="43" fontId="3" fillId="0" borderId="0" xfId="74" applyFont="1"/>
    <xf numFmtId="0" fontId="3" fillId="0" borderId="6" xfId="0" applyFont="1" applyBorder="1"/>
    <xf numFmtId="44" fontId="2" fillId="28" borderId="0" xfId="0" applyNumberFormat="1" applyFont="1" applyFill="1" applyProtection="1"/>
    <xf numFmtId="172" fontId="0" fillId="0" borderId="28" xfId="74" applyNumberFormat="1" applyFont="1" applyBorder="1"/>
    <xf numFmtId="6" fontId="33" fillId="33" borderId="18" xfId="0" applyNumberFormat="1" applyFont="1" applyFill="1" applyBorder="1" applyProtection="1"/>
    <xf numFmtId="0" fontId="33" fillId="34" borderId="21" xfId="0" applyFont="1" applyFill="1" applyBorder="1"/>
    <xf numFmtId="0" fontId="33" fillId="34" borderId="23" xfId="0" applyFont="1" applyFill="1" applyBorder="1"/>
    <xf numFmtId="0" fontId="33" fillId="34" borderId="25" xfId="0" applyFont="1" applyFill="1" applyBorder="1"/>
    <xf numFmtId="171" fontId="33" fillId="34" borderId="21" xfId="75" applyNumberFormat="1" applyFont="1" applyFill="1" applyBorder="1"/>
    <xf numFmtId="9" fontId="33" fillId="34" borderId="23" xfId="76" applyFont="1" applyFill="1" applyBorder="1"/>
    <xf numFmtId="171" fontId="33" fillId="34" borderId="23" xfId="75" applyNumberFormat="1" applyFont="1" applyFill="1" applyBorder="1"/>
    <xf numFmtId="9" fontId="33" fillId="34" borderId="25" xfId="76" applyFont="1" applyFill="1" applyBorder="1"/>
    <xf numFmtId="43" fontId="33" fillId="34" borderId="23" xfId="74" applyFont="1" applyFill="1" applyBorder="1"/>
    <xf numFmtId="9" fontId="33" fillId="34" borderId="23" xfId="74" applyNumberFormat="1" applyFont="1" applyFill="1" applyBorder="1"/>
    <xf numFmtId="10" fontId="33" fillId="34" borderId="23" xfId="0" applyNumberFormat="1" applyFont="1" applyFill="1" applyBorder="1"/>
    <xf numFmtId="10" fontId="33" fillId="34" borderId="25" xfId="0" applyNumberFormat="1" applyFont="1" applyFill="1" applyBorder="1"/>
    <xf numFmtId="9" fontId="33" fillId="34" borderId="25" xfId="76" applyNumberFormat="1" applyFont="1" applyFill="1" applyBorder="1"/>
    <xf numFmtId="171" fontId="33" fillId="34" borderId="30" xfId="75" applyNumberFormat="1" applyFont="1" applyFill="1" applyBorder="1"/>
    <xf numFmtId="0" fontId="33" fillId="34" borderId="30" xfId="0" applyFont="1" applyFill="1" applyBorder="1"/>
    <xf numFmtId="9" fontId="33" fillId="34" borderId="30" xfId="0" applyNumberFormat="1" applyFont="1" applyFill="1" applyBorder="1"/>
    <xf numFmtId="43" fontId="33" fillId="34" borderId="8" xfId="0" applyNumberFormat="1" applyFont="1" applyFill="1" applyBorder="1"/>
    <xf numFmtId="43" fontId="33" fillId="34" borderId="25" xfId="0" applyNumberFormat="1" applyFont="1" applyFill="1" applyBorder="1"/>
    <xf numFmtId="43" fontId="3" fillId="0" borderId="8" xfId="0" applyNumberFormat="1" applyFont="1" applyBorder="1"/>
    <xf numFmtId="44" fontId="33" fillId="34" borderId="0" xfId="75" applyFont="1" applyFill="1" applyBorder="1"/>
    <xf numFmtId="172" fontId="33" fillId="34" borderId="0" xfId="74" applyNumberFormat="1" applyFont="1" applyFill="1" applyBorder="1"/>
    <xf numFmtId="171" fontId="33" fillId="34" borderId="0" xfId="75" applyNumberFormat="1" applyFont="1" applyFill="1" applyBorder="1"/>
    <xf numFmtId="43" fontId="33" fillId="34" borderId="0" xfId="74" applyFont="1" applyFill="1" applyBorder="1"/>
    <xf numFmtId="0" fontId="33" fillId="34" borderId="0" xfId="0" applyFont="1" applyFill="1" applyBorder="1"/>
    <xf numFmtId="10" fontId="33" fillId="34" borderId="8" xfId="76" applyNumberFormat="1" applyFont="1" applyFill="1" applyBorder="1"/>
    <xf numFmtId="43" fontId="0" fillId="0" borderId="0" xfId="0" applyNumberFormat="1"/>
    <xf numFmtId="171" fontId="33" fillId="34" borderId="8" xfId="75" applyNumberFormat="1" applyFont="1" applyFill="1" applyBorder="1"/>
    <xf numFmtId="0" fontId="3" fillId="0" borderId="8" xfId="0" applyFont="1" applyBorder="1" applyProtection="1"/>
    <xf numFmtId="9" fontId="33" fillId="0" borderId="0" xfId="0" applyNumberFormat="1" applyFont="1" applyFill="1" applyBorder="1"/>
    <xf numFmtId="0" fontId="33" fillId="0" borderId="0" xfId="0" applyFont="1" applyFill="1" applyBorder="1"/>
    <xf numFmtId="170" fontId="1" fillId="0" borderId="0" xfId="0" applyNumberFormat="1" applyFont="1" applyFill="1" applyBorder="1" applyAlignment="1" applyProtection="1">
      <alignment vertical="center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 vertical="top" wrapText="1"/>
    </xf>
    <xf numFmtId="0" fontId="46" fillId="34" borderId="0" xfId="0" applyFont="1" applyFill="1" applyAlignment="1">
      <alignment horizontal="center" vertical="top" wrapText="1"/>
    </xf>
    <xf numFmtId="0" fontId="1" fillId="0" borderId="22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6" fillId="24" borderId="0" xfId="0" applyFont="1" applyFill="1" applyAlignment="1" applyProtection="1">
      <alignment horizontal="center"/>
    </xf>
    <xf numFmtId="0" fontId="36" fillId="27" borderId="0" xfId="0" applyFont="1" applyFill="1" applyAlignment="1" applyProtection="1">
      <alignment horizontal="center"/>
      <protection locked="0"/>
    </xf>
    <xf numFmtId="0" fontId="47" fillId="0" borderId="0" xfId="0" applyFont="1" applyAlignment="1" applyProtection="1">
      <alignment horizontal="center" wrapText="1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" xfId="74" builtinId="3"/>
    <cellStyle name="Comma0" xfId="31"/>
    <cellStyle name="Currency" xfId="75" builtinId="4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Input" xfId="52" builtinId="20" customBuiltin="1"/>
    <cellStyle name="Level 2 Total" xfId="53"/>
    <cellStyle name="Linked Cell" xfId="54" builtinId="24" customBuiltin="1"/>
    <cellStyle name="Major Total" xfId="55"/>
    <cellStyle name="Neutral" xfId="56" builtinId="28" customBuiltin="1"/>
    <cellStyle name="NonPrint_TemTitle" xfId="57"/>
    <cellStyle name="Normal" xfId="0" builtinId="0"/>
    <cellStyle name="Normal 2" xfId="58"/>
    <cellStyle name="NormalRed" xfId="59"/>
    <cellStyle name="Note" xfId="60" builtinId="10" customBuiltin="1"/>
    <cellStyle name="Output" xfId="61" builtinId="21" customBuiltin="1"/>
    <cellStyle name="Percent" xfId="76" builtinId="5"/>
    <cellStyle name="Percent.0" xfId="62"/>
    <cellStyle name="Percent.00" xfId="63"/>
    <cellStyle name="RED POSTED" xfId="64"/>
    <cellStyle name="Standard_Anpassen der Amortisation" xfId="65"/>
    <cellStyle name="Text_simple" xfId="66"/>
    <cellStyle name="Title" xfId="67" builtinId="15" customBuiltin="1"/>
    <cellStyle name="TmsRmn10BlueItalic" xfId="68"/>
    <cellStyle name="TmsRmn10Bold" xfId="69"/>
    <cellStyle name="Total" xfId="70" builtinId="25" customBuiltin="1"/>
    <cellStyle name="Währung [0]_Compiling Utility Macros" xfId="71"/>
    <cellStyle name="Währung_Compiling Utility Macros" xfId="72"/>
    <cellStyle name="Warning Text" xfId="7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3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553986</xdr:colOff>
      <xdr:row>11</xdr:row>
      <xdr:rowOff>185766</xdr:rowOff>
    </xdr:from>
    <xdr:to>
      <xdr:col>5</xdr:col>
      <xdr:colOff>41082</xdr:colOff>
      <xdr:row>24</xdr:row>
      <xdr:rowOff>22450</xdr:rowOff>
    </xdr:to>
    <xdr:sp macro="" textlink="">
      <xdr:nvSpPr>
        <xdr:cNvPr id="2" name="TextBox 1"/>
        <xdr:cNvSpPr txBox="1"/>
      </xdr:nvSpPr>
      <xdr:spPr>
        <a:xfrm rot="18978118">
          <a:off x="553986" y="7503207"/>
          <a:ext cx="7969949" cy="218991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3800" b="1">
              <a:ln>
                <a:noFill/>
              </a:ln>
              <a:solidFill>
                <a:srgbClr val="FF0000">
                  <a:alpha val="30000"/>
                </a:srgbClr>
              </a:solidFill>
            </a:rPr>
            <a:t>SAMPLE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525543</xdr:colOff>
      <xdr:row>12</xdr:row>
      <xdr:rowOff>154691</xdr:rowOff>
    </xdr:from>
    <xdr:to>
      <xdr:col>6</xdr:col>
      <xdr:colOff>258843</xdr:colOff>
      <xdr:row>27</xdr:row>
      <xdr:rowOff>102244</xdr:rowOff>
    </xdr:to>
    <xdr:sp macro="" textlink="">
      <xdr:nvSpPr>
        <xdr:cNvPr id="2" name="TextBox 1"/>
        <xdr:cNvSpPr txBox="1"/>
      </xdr:nvSpPr>
      <xdr:spPr>
        <a:xfrm rot="18978118">
          <a:off x="4799369" y="2101104"/>
          <a:ext cx="6790083" cy="193537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3800" b="1">
              <a:ln>
                <a:noFill/>
              </a:ln>
              <a:solidFill>
                <a:srgbClr val="FF0000">
                  <a:alpha val="30000"/>
                </a:srgbClr>
              </a:solidFill>
            </a:rPr>
            <a:t>SAMPLE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view="pageBreakPreview" topLeftCell="C1" zoomScale="150" zoomScaleNormal="150" zoomScaleSheetLayoutView="55" zoomScalePageLayoutView="150" workbookViewId="0">
      <selection activeCell="G36" sqref="G36"/>
    </sheetView>
  </sheetViews>
  <sheetFormatPr baseColWidth="10" defaultColWidth="8.83203125" defaultRowHeight="12" x14ac:dyDescent="0"/>
  <cols>
    <col min="2" max="2" width="35.1640625" customWidth="1"/>
    <col min="3" max="3" width="47.5" customWidth="1"/>
    <col min="4" max="4" width="26.5" customWidth="1"/>
    <col min="7" max="7" width="10.33203125" customWidth="1"/>
    <col min="8" max="8" width="10.5" customWidth="1"/>
    <col min="9" max="9" width="26.1640625" bestFit="1" customWidth="1"/>
    <col min="11" max="11" width="11.33203125" customWidth="1"/>
    <col min="12" max="12" width="10.83203125" bestFit="1" customWidth="1"/>
  </cols>
  <sheetData>
    <row r="1" spans="1:9" ht="21">
      <c r="A1" s="130" t="s">
        <v>236</v>
      </c>
      <c r="B1" s="130"/>
      <c r="C1" s="130"/>
      <c r="D1" s="130"/>
      <c r="E1" s="130"/>
    </row>
    <row r="3" spans="1:9" ht="65.25" customHeight="1">
      <c r="A3" s="188" t="s">
        <v>302</v>
      </c>
      <c r="B3" s="188"/>
      <c r="C3" s="188"/>
      <c r="D3" s="188"/>
      <c r="E3" s="188"/>
      <c r="F3" s="126"/>
      <c r="I3" s="13"/>
    </row>
    <row r="4" spans="1:9" ht="15">
      <c r="B4" s="121"/>
      <c r="C4" s="121"/>
      <c r="D4" s="122"/>
      <c r="E4" s="122"/>
      <c r="F4" s="122"/>
    </row>
    <row r="5" spans="1:9" ht="53.25" customHeight="1">
      <c r="A5" s="189" t="s">
        <v>303</v>
      </c>
      <c r="B5" s="189"/>
      <c r="C5" s="189"/>
      <c r="D5" s="189"/>
      <c r="E5" s="189"/>
      <c r="F5" s="127"/>
      <c r="G5" s="115"/>
      <c r="H5" s="13"/>
    </row>
    <row r="6" spans="1:9" ht="14.25" customHeight="1">
      <c r="A6" s="142"/>
      <c r="B6" s="143"/>
      <c r="C6" s="144"/>
      <c r="D6" s="145"/>
      <c r="E6" s="145"/>
      <c r="F6" s="123"/>
      <c r="G6" s="115"/>
      <c r="H6" s="115"/>
    </row>
    <row r="7" spans="1:9" ht="39.75" customHeight="1">
      <c r="A7" s="190" t="s">
        <v>205</v>
      </c>
      <c r="B7" s="190"/>
      <c r="C7" s="190"/>
      <c r="D7" s="190"/>
      <c r="E7" s="190"/>
      <c r="F7" s="128"/>
      <c r="G7" s="117"/>
    </row>
    <row r="8" spans="1:9" ht="14.25" customHeight="1">
      <c r="B8" s="121"/>
      <c r="C8" s="124"/>
      <c r="D8" s="125"/>
      <c r="E8" s="125"/>
      <c r="F8" s="125"/>
      <c r="G8" s="117"/>
      <c r="H8" s="117"/>
    </row>
    <row r="9" spans="1:9" ht="15" customHeight="1">
      <c r="A9" s="191" t="s">
        <v>232</v>
      </c>
      <c r="B9" s="191"/>
      <c r="C9" s="191"/>
      <c r="D9" s="191"/>
      <c r="E9" s="191"/>
      <c r="F9" s="129"/>
      <c r="G9" s="116"/>
    </row>
    <row r="10" spans="1:9" ht="22.5" customHeight="1">
      <c r="A10" s="191"/>
      <c r="B10" s="191"/>
      <c r="C10" s="191"/>
      <c r="D10" s="191"/>
      <c r="E10" s="191"/>
      <c r="F10" s="129"/>
      <c r="G10" s="116"/>
    </row>
    <row r="11" spans="1:9" ht="13">
      <c r="B11" s="98"/>
      <c r="C11" s="116"/>
      <c r="D11" s="116"/>
      <c r="E11" s="116"/>
      <c r="F11" s="116"/>
      <c r="G11" s="116"/>
      <c r="H11" s="116"/>
    </row>
    <row r="12" spans="1:9" ht="14" thickBot="1">
      <c r="B12" s="98"/>
      <c r="C12" s="114" t="s">
        <v>56</v>
      </c>
      <c r="D12" s="114" t="s">
        <v>57</v>
      </c>
      <c r="E12" s="104"/>
      <c r="F12" s="104"/>
      <c r="G12" s="114" t="s">
        <v>125</v>
      </c>
    </row>
    <row r="13" spans="1:9" ht="13">
      <c r="B13" s="106" t="s">
        <v>122</v>
      </c>
      <c r="C13" s="30" t="s">
        <v>224</v>
      </c>
      <c r="D13" s="161">
        <v>120000</v>
      </c>
      <c r="G13" s="104" t="s">
        <v>239</v>
      </c>
    </row>
    <row r="14" spans="1:9" ht="13">
      <c r="B14" s="107"/>
      <c r="C14" s="22" t="s">
        <v>225</v>
      </c>
      <c r="D14" s="165">
        <v>2</v>
      </c>
      <c r="G14" s="104" t="s">
        <v>160</v>
      </c>
    </row>
    <row r="15" spans="1:9" ht="13">
      <c r="B15" s="107"/>
      <c r="C15" s="22" t="s">
        <v>141</v>
      </c>
      <c r="D15" s="166">
        <v>0.03</v>
      </c>
      <c r="G15" s="104" t="s">
        <v>156</v>
      </c>
    </row>
    <row r="16" spans="1:9" ht="13">
      <c r="B16" s="107"/>
      <c r="C16" s="20"/>
      <c r="D16" s="67"/>
      <c r="G16" s="104"/>
    </row>
    <row r="17" spans="2:7" ht="13">
      <c r="B17" s="107"/>
      <c r="C17" s="22" t="s">
        <v>207</v>
      </c>
      <c r="D17" s="163">
        <v>100000</v>
      </c>
      <c r="G17" s="104" t="s">
        <v>240</v>
      </c>
    </row>
    <row r="18" spans="2:7" ht="13">
      <c r="B18" s="107"/>
      <c r="C18" s="22" t="s">
        <v>226</v>
      </c>
      <c r="D18" s="165">
        <v>1</v>
      </c>
      <c r="G18" s="104" t="s">
        <v>160</v>
      </c>
    </row>
    <row r="19" spans="2:7" ht="13">
      <c r="B19" s="107"/>
      <c r="C19" s="22" t="s">
        <v>141</v>
      </c>
      <c r="D19" s="166">
        <v>0.03</v>
      </c>
      <c r="G19" s="104" t="s">
        <v>156</v>
      </c>
    </row>
    <row r="20" spans="2:7" ht="13">
      <c r="B20" s="107"/>
      <c r="C20" s="20"/>
      <c r="D20" s="24"/>
      <c r="G20" s="104"/>
    </row>
    <row r="21" spans="2:7" ht="13">
      <c r="B21" s="107"/>
      <c r="C21" s="22" t="s">
        <v>208</v>
      </c>
      <c r="D21" s="163">
        <v>50000</v>
      </c>
      <c r="G21" s="104" t="s">
        <v>133</v>
      </c>
    </row>
    <row r="22" spans="2:7" ht="13">
      <c r="B22" s="107"/>
      <c r="C22" s="22" t="s">
        <v>227</v>
      </c>
      <c r="D22" s="165">
        <v>1.5</v>
      </c>
      <c r="G22" s="104" t="s">
        <v>160</v>
      </c>
    </row>
    <row r="23" spans="2:7" ht="13">
      <c r="B23" s="107"/>
      <c r="C23" s="22" t="s">
        <v>141</v>
      </c>
      <c r="D23" s="166">
        <v>0.03</v>
      </c>
      <c r="G23" s="104" t="s">
        <v>156</v>
      </c>
    </row>
    <row r="24" spans="2:7" ht="13">
      <c r="B24" s="107"/>
      <c r="C24" s="20"/>
      <c r="D24" s="24"/>
      <c r="G24" s="104"/>
    </row>
    <row r="25" spans="2:7" ht="13">
      <c r="B25" s="107"/>
      <c r="C25" s="22" t="s">
        <v>209</v>
      </c>
      <c r="D25" s="163">
        <v>80000</v>
      </c>
      <c r="G25" s="104" t="s">
        <v>241</v>
      </c>
    </row>
    <row r="26" spans="2:7" ht="13">
      <c r="B26" s="107"/>
      <c r="C26" s="22" t="s">
        <v>228</v>
      </c>
      <c r="D26" s="165">
        <v>1</v>
      </c>
      <c r="G26" s="104" t="s">
        <v>160</v>
      </c>
    </row>
    <row r="27" spans="2:7" ht="13">
      <c r="B27" s="107"/>
      <c r="C27" s="22" t="s">
        <v>141</v>
      </c>
      <c r="D27" s="166">
        <v>0.03</v>
      </c>
      <c r="G27" s="104" t="s">
        <v>156</v>
      </c>
    </row>
    <row r="28" spans="2:7" ht="13">
      <c r="B28" s="108"/>
      <c r="C28" s="20"/>
      <c r="D28" s="21"/>
      <c r="G28" s="104"/>
    </row>
    <row r="29" spans="2:7" ht="13">
      <c r="B29" s="108"/>
      <c r="C29" s="22" t="s">
        <v>85</v>
      </c>
      <c r="D29" s="167">
        <v>0.25750000000000001</v>
      </c>
      <c r="G29" s="104" t="s">
        <v>131</v>
      </c>
    </row>
    <row r="30" spans="2:7" ht="14" thickBot="1">
      <c r="B30" s="108"/>
      <c r="C30" s="89" t="s">
        <v>197</v>
      </c>
      <c r="D30" s="168">
        <v>2.5000000000000001E-3</v>
      </c>
      <c r="G30" s="104" t="s">
        <v>157</v>
      </c>
    </row>
    <row r="31" spans="2:7">
      <c r="B31" s="98"/>
    </row>
    <row r="32" spans="2:7" ht="14" thickBot="1">
      <c r="B32" s="107"/>
      <c r="G32" s="104"/>
    </row>
    <row r="33" spans="2:7" ht="13">
      <c r="B33" s="109" t="s">
        <v>123</v>
      </c>
      <c r="C33" s="30" t="s">
        <v>64</v>
      </c>
      <c r="D33" s="161">
        <v>50000</v>
      </c>
      <c r="G33" s="104" t="s">
        <v>150</v>
      </c>
    </row>
    <row r="34" spans="2:7" ht="14" thickBot="1">
      <c r="B34" s="108"/>
      <c r="C34" s="36" t="s">
        <v>147</v>
      </c>
      <c r="D34" s="169">
        <v>-0.05</v>
      </c>
      <c r="G34" s="104" t="s">
        <v>151</v>
      </c>
    </row>
    <row r="35" spans="2:7" ht="14" thickBot="1">
      <c r="B35" s="108"/>
      <c r="G35" s="104"/>
    </row>
    <row r="36" spans="2:7" ht="14" thickBot="1">
      <c r="B36" s="110" t="s">
        <v>149</v>
      </c>
      <c r="C36" s="101" t="s">
        <v>119</v>
      </c>
      <c r="D36" s="170">
        <v>30000</v>
      </c>
      <c r="G36" s="104" t="s">
        <v>304</v>
      </c>
    </row>
    <row r="37" spans="2:7" ht="14" thickBot="1">
      <c r="B37" s="111"/>
      <c r="G37" s="104"/>
    </row>
    <row r="38" spans="2:7" ht="14" thickBot="1">
      <c r="B38" s="110" t="s">
        <v>65</v>
      </c>
      <c r="C38" s="101" t="s">
        <v>182</v>
      </c>
      <c r="D38" s="170">
        <v>200</v>
      </c>
      <c r="G38" s="104" t="s">
        <v>152</v>
      </c>
    </row>
    <row r="39" spans="2:7" ht="14" thickBot="1">
      <c r="B39" s="111"/>
      <c r="G39" s="104"/>
    </row>
    <row r="40" spans="2:7" ht="14" thickBot="1">
      <c r="B40" s="112" t="s">
        <v>154</v>
      </c>
      <c r="C40" s="101" t="s">
        <v>229</v>
      </c>
      <c r="D40" s="171">
        <v>300</v>
      </c>
      <c r="G40" s="104" t="s">
        <v>230</v>
      </c>
    </row>
    <row r="41" spans="2:7" ht="14" thickBot="1">
      <c r="B41" s="112"/>
      <c r="C41" s="48"/>
      <c r="D41" s="186"/>
      <c r="G41" s="104"/>
    </row>
    <row r="42" spans="2:7" ht="14" thickBot="1">
      <c r="B42" s="106" t="s">
        <v>163</v>
      </c>
      <c r="C42" s="101" t="s">
        <v>164</v>
      </c>
      <c r="D42" s="170">
        <v>25000</v>
      </c>
      <c r="E42" s="13" t="s">
        <v>178</v>
      </c>
      <c r="G42" s="104" t="s">
        <v>242</v>
      </c>
    </row>
    <row r="43" spans="2:7" ht="14" thickBot="1">
      <c r="B43" s="111"/>
    </row>
    <row r="44" spans="2:7" ht="14" thickBot="1">
      <c r="B44" s="112" t="s">
        <v>214</v>
      </c>
      <c r="C44" s="101" t="s">
        <v>162</v>
      </c>
      <c r="D44" s="172">
        <v>0.3</v>
      </c>
      <c r="E44" s="13"/>
      <c r="F44" s="13"/>
      <c r="G44" s="104" t="s">
        <v>169</v>
      </c>
    </row>
    <row r="45" spans="2:7" ht="14" thickBot="1">
      <c r="B45" s="112"/>
      <c r="C45" s="48"/>
      <c r="D45" s="185"/>
      <c r="E45" s="13"/>
      <c r="F45" s="13"/>
      <c r="G45" s="104"/>
    </row>
    <row r="46" spans="2:7" ht="13">
      <c r="B46" s="106" t="s">
        <v>124</v>
      </c>
      <c r="C46" s="30" t="s">
        <v>134</v>
      </c>
      <c r="D46" s="158">
        <v>50</v>
      </c>
      <c r="G46" s="104" t="s">
        <v>126</v>
      </c>
    </row>
    <row r="47" spans="2:7" ht="13">
      <c r="B47" s="107"/>
      <c r="C47" s="20"/>
      <c r="D47" s="23"/>
      <c r="G47" s="104"/>
    </row>
    <row r="48" spans="2:7" ht="13">
      <c r="B48" s="107"/>
      <c r="C48" s="22" t="s">
        <v>135</v>
      </c>
      <c r="D48" s="159">
        <v>100</v>
      </c>
      <c r="G48" s="104" t="s">
        <v>139</v>
      </c>
    </row>
    <row r="49" spans="2:7" ht="13">
      <c r="B49" s="107"/>
      <c r="C49" s="20"/>
      <c r="D49" s="21"/>
      <c r="G49" s="104"/>
    </row>
    <row r="50" spans="2:7" ht="13">
      <c r="B50" s="107"/>
      <c r="C50" s="22" t="s">
        <v>136</v>
      </c>
      <c r="D50" s="159">
        <v>150</v>
      </c>
      <c r="G50" s="104" t="s">
        <v>128</v>
      </c>
    </row>
    <row r="51" spans="2:7" ht="13">
      <c r="B51" s="107"/>
      <c r="C51" s="20"/>
      <c r="D51" s="23"/>
      <c r="G51" s="104"/>
    </row>
    <row r="52" spans="2:7" ht="13">
      <c r="B52" s="107"/>
      <c r="C52" s="22" t="s">
        <v>137</v>
      </c>
      <c r="D52" s="159">
        <v>150</v>
      </c>
      <c r="G52" s="104" t="s">
        <v>129</v>
      </c>
    </row>
    <row r="53" spans="2:7" ht="13">
      <c r="B53" s="107"/>
      <c r="C53" s="20"/>
      <c r="D53" s="23"/>
      <c r="G53" s="104"/>
    </row>
    <row r="54" spans="2:7" ht="14" thickBot="1">
      <c r="B54" s="107"/>
      <c r="C54" s="36" t="s">
        <v>161</v>
      </c>
      <c r="D54" s="160">
        <v>150</v>
      </c>
      <c r="G54" s="104" t="s">
        <v>130</v>
      </c>
    </row>
    <row r="55" spans="2:7" ht="14" thickBot="1">
      <c r="B55" s="112"/>
      <c r="C55" s="48"/>
      <c r="D55" s="185"/>
      <c r="E55" s="13"/>
      <c r="F55" s="13"/>
      <c r="G55" s="104"/>
    </row>
    <row r="56" spans="2:7" ht="13">
      <c r="B56" s="106" t="s">
        <v>121</v>
      </c>
      <c r="C56" s="30" t="s">
        <v>220</v>
      </c>
      <c r="D56" s="161">
        <v>20000</v>
      </c>
      <c r="G56" s="104" t="s">
        <v>206</v>
      </c>
    </row>
    <row r="57" spans="2:7" ht="13">
      <c r="B57" s="107"/>
      <c r="C57" s="22" t="s">
        <v>184</v>
      </c>
      <c r="D57" s="162">
        <v>0.03</v>
      </c>
      <c r="G57" s="104" t="s">
        <v>140</v>
      </c>
    </row>
    <row r="58" spans="2:7" ht="13">
      <c r="B58" s="107"/>
      <c r="C58" s="22"/>
      <c r="D58" s="88"/>
      <c r="G58" s="104"/>
    </row>
    <row r="59" spans="2:7" ht="13">
      <c r="B59" s="107"/>
      <c r="C59" s="22" t="s">
        <v>221</v>
      </c>
      <c r="D59" s="163">
        <v>75</v>
      </c>
      <c r="G59" s="104" t="s">
        <v>237</v>
      </c>
    </row>
    <row r="60" spans="2:7" ht="13">
      <c r="B60" s="107"/>
      <c r="C60" s="20"/>
      <c r="D60" s="23"/>
      <c r="G60" s="104"/>
    </row>
    <row r="61" spans="2:7" ht="13">
      <c r="B61" s="107"/>
      <c r="C61" s="22" t="s">
        <v>222</v>
      </c>
      <c r="D61" s="163">
        <v>200</v>
      </c>
      <c r="G61" s="104" t="s">
        <v>127</v>
      </c>
    </row>
    <row r="62" spans="2:7" ht="14" thickBot="1">
      <c r="B62" s="107"/>
      <c r="C62" s="89" t="s">
        <v>185</v>
      </c>
      <c r="D62" s="164">
        <v>0.01</v>
      </c>
      <c r="G62" s="104" t="s">
        <v>132</v>
      </c>
    </row>
    <row r="63" spans="2:7" ht="14" thickBot="1">
      <c r="B63" s="106"/>
      <c r="C63" s="48"/>
      <c r="D63" s="62"/>
    </row>
    <row r="64" spans="2:7" ht="14" hidden="1" thickBot="1">
      <c r="B64" s="108"/>
      <c r="C64" s="13"/>
    </row>
    <row r="65" spans="2:7" ht="14" hidden="1" thickBot="1">
      <c r="B65" s="109" t="s">
        <v>142</v>
      </c>
    </row>
    <row r="66" spans="2:7" ht="14" hidden="1" thickBot="1">
      <c r="B66" s="108"/>
      <c r="C66" s="13"/>
    </row>
    <row r="67" spans="2:7" ht="14" hidden="1" thickBot="1">
      <c r="B67" s="108"/>
    </row>
    <row r="68" spans="2:7" ht="14" hidden="1" thickBot="1">
      <c r="B68" s="112" t="s">
        <v>143</v>
      </c>
      <c r="C68" s="13"/>
    </row>
    <row r="69" spans="2:7" ht="14" hidden="1" thickBot="1">
      <c r="B69" s="108"/>
    </row>
    <row r="70" spans="2:7" ht="14" hidden="1" thickBot="1">
      <c r="B70" s="108"/>
    </row>
    <row r="71" spans="2:7" ht="14" hidden="1" thickBot="1">
      <c r="B71" s="109" t="s">
        <v>144</v>
      </c>
    </row>
    <row r="72" spans="2:7" ht="14" hidden="1" thickBot="1">
      <c r="B72" s="108"/>
    </row>
    <row r="73" spans="2:7" ht="14" hidden="1" thickBot="1">
      <c r="B73" s="112" t="s">
        <v>145</v>
      </c>
    </row>
    <row r="74" spans="2:7" ht="14" hidden="1" thickBot="1">
      <c r="B74" s="148"/>
    </row>
    <row r="75" spans="2:7" ht="14" hidden="1" thickBot="1">
      <c r="B75" s="112" t="s">
        <v>146</v>
      </c>
    </row>
    <row r="76" spans="2:7" ht="14" thickBot="1">
      <c r="B76" s="112" t="s">
        <v>210</v>
      </c>
      <c r="C76" s="152" t="s">
        <v>210</v>
      </c>
      <c r="D76" s="170">
        <v>20000</v>
      </c>
      <c r="G76" s="104" t="s">
        <v>243</v>
      </c>
    </row>
    <row r="77" spans="2:7" ht="14" thickBot="1">
      <c r="B77" s="149"/>
      <c r="C77" s="13"/>
      <c r="D77" s="50"/>
      <c r="G77" s="104"/>
    </row>
    <row r="78" spans="2:7" ht="14" thickBot="1">
      <c r="B78" s="112" t="s">
        <v>211</v>
      </c>
      <c r="C78" s="152" t="s">
        <v>211</v>
      </c>
      <c r="D78" s="170">
        <v>50000</v>
      </c>
      <c r="G78" s="104" t="s">
        <v>243</v>
      </c>
    </row>
    <row r="79" spans="2:7" ht="14" thickBot="1">
      <c r="B79" s="149"/>
      <c r="C79" s="13"/>
      <c r="D79" s="50"/>
      <c r="G79" s="104"/>
    </row>
    <row r="80" spans="2:7" ht="14" thickBot="1">
      <c r="B80" s="112" t="s">
        <v>212</v>
      </c>
      <c r="C80" s="152" t="s">
        <v>212</v>
      </c>
      <c r="D80" s="170">
        <v>10000</v>
      </c>
      <c r="G80" s="104" t="s">
        <v>243</v>
      </c>
    </row>
    <row r="81" spans="2:7" ht="14" thickBot="1">
      <c r="B81" s="149"/>
      <c r="C81" s="13"/>
      <c r="D81" s="50"/>
      <c r="G81" s="104"/>
    </row>
    <row r="82" spans="2:7" ht="14" thickBot="1">
      <c r="B82" s="112" t="s">
        <v>213</v>
      </c>
      <c r="C82" s="152" t="s">
        <v>213</v>
      </c>
      <c r="D82" s="170">
        <v>5000</v>
      </c>
      <c r="G82" s="104" t="s">
        <v>243</v>
      </c>
    </row>
  </sheetData>
  <mergeCells count="4">
    <mergeCell ref="A3:E3"/>
    <mergeCell ref="A5:E5"/>
    <mergeCell ref="A7:E7"/>
    <mergeCell ref="A9:E10"/>
  </mergeCells>
  <pageMargins left="0.7" right="0.7" top="0.75" bottom="0.75" header="0.3" footer="0.3"/>
  <pageSetup scale="56" orientation="portrait"/>
  <colBreaks count="1" manualBreakCount="1">
    <brk id="6" max="8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view="pageBreakPreview" zoomScaleSheetLayoutView="100" workbookViewId="0">
      <selection activeCell="P6" sqref="P6"/>
    </sheetView>
  </sheetViews>
  <sheetFormatPr baseColWidth="10" defaultColWidth="8.83203125" defaultRowHeight="12" x14ac:dyDescent="0"/>
  <cols>
    <col min="1" max="1" width="4.6640625" customWidth="1"/>
    <col min="2" max="2" width="36" bestFit="1" customWidth="1"/>
    <col min="3" max="3" width="9.6640625" bestFit="1" customWidth="1"/>
    <col min="4" max="7" width="12.33203125" bestFit="1" customWidth="1"/>
    <col min="8" max="8" width="13.6640625" customWidth="1"/>
    <col min="9" max="9" width="4.6640625" customWidth="1"/>
  </cols>
  <sheetData>
    <row r="2" spans="2:10" ht="17">
      <c r="B2" s="131" t="s">
        <v>158</v>
      </c>
    </row>
    <row r="3" spans="2:10" ht="14" thickBot="1">
      <c r="J3" s="114" t="s">
        <v>125</v>
      </c>
    </row>
    <row r="4" spans="2:10">
      <c r="B4" s="75"/>
      <c r="C4" s="56"/>
      <c r="D4" s="68" t="s">
        <v>7</v>
      </c>
      <c r="E4" s="69" t="s">
        <v>8</v>
      </c>
      <c r="F4" s="69" t="s">
        <v>9</v>
      </c>
      <c r="G4" s="69" t="s">
        <v>10</v>
      </c>
      <c r="H4" s="70" t="s">
        <v>11</v>
      </c>
    </row>
    <row r="5" spans="2:10">
      <c r="B5" s="22" t="s">
        <v>90</v>
      </c>
      <c r="C5" s="95">
        <f>'START HERE - Summary Input Page'!D13</f>
        <v>120000</v>
      </c>
      <c r="D5" s="60">
        <f>$C$5</f>
        <v>120000</v>
      </c>
      <c r="E5" s="60">
        <f>D5*(1+$C$6)</f>
        <v>123600</v>
      </c>
      <c r="F5" s="60">
        <f t="shared" ref="F5:H5" si="0">E5*(1+$C$6)</f>
        <v>127308</v>
      </c>
      <c r="G5" s="60">
        <f t="shared" si="0"/>
        <v>131127.24</v>
      </c>
      <c r="H5" s="61">
        <f t="shared" si="0"/>
        <v>135061.05719999998</v>
      </c>
      <c r="J5" s="13" t="s">
        <v>231</v>
      </c>
    </row>
    <row r="6" spans="2:10">
      <c r="B6" s="22" t="s">
        <v>159</v>
      </c>
      <c r="C6" s="96">
        <f>'START HERE - Summary Input Page'!D15</f>
        <v>0.03</v>
      </c>
      <c r="D6" s="60"/>
      <c r="E6" s="60"/>
      <c r="F6" s="60"/>
      <c r="G6" s="60"/>
      <c r="H6" s="61"/>
      <c r="J6" s="13" t="s">
        <v>244</v>
      </c>
    </row>
    <row r="7" spans="2:10">
      <c r="B7" s="22"/>
      <c r="C7" s="62"/>
      <c r="D7" s="33"/>
      <c r="E7" s="33"/>
      <c r="F7" s="33"/>
      <c r="G7" s="33"/>
      <c r="H7" s="21"/>
    </row>
    <row r="8" spans="2:10" ht="13" thickBot="1">
      <c r="B8" s="36" t="s">
        <v>86</v>
      </c>
      <c r="C8" s="76"/>
      <c r="D8" s="175">
        <f>'START HERE - Summary Input Page'!$D$14</f>
        <v>2</v>
      </c>
      <c r="E8" s="173">
        <v>3</v>
      </c>
      <c r="F8" s="173">
        <v>3</v>
      </c>
      <c r="G8" s="173">
        <v>3</v>
      </c>
      <c r="H8" s="174">
        <v>3</v>
      </c>
      <c r="J8" s="13" t="s">
        <v>245</v>
      </c>
    </row>
    <row r="9" spans="2:10" ht="13" thickBot="1">
      <c r="C9" s="50"/>
    </row>
    <row r="10" spans="2:10">
      <c r="B10" s="75"/>
      <c r="C10" s="77"/>
      <c r="D10" s="68" t="s">
        <v>7</v>
      </c>
      <c r="E10" s="69" t="s">
        <v>8</v>
      </c>
      <c r="F10" s="69" t="s">
        <v>9</v>
      </c>
      <c r="G10" s="69" t="s">
        <v>10</v>
      </c>
      <c r="H10" s="70" t="s">
        <v>11</v>
      </c>
    </row>
    <row r="11" spans="2:10">
      <c r="B11" s="22" t="s">
        <v>88</v>
      </c>
      <c r="C11" s="95">
        <f>'START HERE - Summary Input Page'!D17</f>
        <v>100000</v>
      </c>
      <c r="D11" s="60">
        <f>$C$11</f>
        <v>100000</v>
      </c>
      <c r="E11" s="60">
        <f>D11*(1+$C$12)</f>
        <v>103000</v>
      </c>
      <c r="F11" s="60">
        <f t="shared" ref="F11:H11" si="1">E11*(1+$C$12)</f>
        <v>106090</v>
      </c>
      <c r="G11" s="60">
        <f t="shared" si="1"/>
        <v>109272.7</v>
      </c>
      <c r="H11" s="61">
        <f t="shared" si="1"/>
        <v>112550.88099999999</v>
      </c>
      <c r="J11" s="13" t="s">
        <v>246</v>
      </c>
    </row>
    <row r="12" spans="2:10">
      <c r="B12" s="22" t="s">
        <v>159</v>
      </c>
      <c r="C12" s="96">
        <f>'START HERE - Summary Input Page'!D19</f>
        <v>0.03</v>
      </c>
      <c r="D12" s="60"/>
      <c r="E12" s="60"/>
      <c r="F12" s="60"/>
      <c r="G12" s="60"/>
      <c r="H12" s="61"/>
      <c r="J12" s="13" t="s">
        <v>244</v>
      </c>
    </row>
    <row r="13" spans="2:10">
      <c r="B13" s="20"/>
      <c r="C13" s="62"/>
      <c r="D13" s="33"/>
      <c r="E13" s="33"/>
      <c r="F13" s="33"/>
      <c r="G13" s="33"/>
      <c r="H13" s="21"/>
    </row>
    <row r="14" spans="2:10" ht="13" thickBot="1">
      <c r="B14" s="36" t="s">
        <v>91</v>
      </c>
      <c r="C14" s="71"/>
      <c r="D14" s="175">
        <f>'START HERE - Summary Input Page'!D22</f>
        <v>1.5</v>
      </c>
      <c r="E14" s="173">
        <v>1.5</v>
      </c>
      <c r="F14" s="173">
        <v>1.5</v>
      </c>
      <c r="G14" s="173">
        <v>1.5</v>
      </c>
      <c r="H14" s="174">
        <v>1.5</v>
      </c>
      <c r="J14" s="13" t="s">
        <v>245</v>
      </c>
    </row>
    <row r="15" spans="2:10" ht="13" thickBot="1">
      <c r="B15" s="33"/>
      <c r="C15" s="62"/>
      <c r="D15" s="33"/>
    </row>
    <row r="16" spans="2:10">
      <c r="B16" s="75"/>
      <c r="C16" s="78"/>
      <c r="D16" s="68" t="s">
        <v>7</v>
      </c>
      <c r="E16" s="69" t="s">
        <v>8</v>
      </c>
      <c r="F16" s="69" t="s">
        <v>9</v>
      </c>
      <c r="G16" s="69" t="s">
        <v>10</v>
      </c>
      <c r="H16" s="70" t="s">
        <v>11</v>
      </c>
    </row>
    <row r="17" spans="2:10">
      <c r="B17" s="22" t="s">
        <v>89</v>
      </c>
      <c r="C17" s="95">
        <f>'START HERE - Summary Input Page'!D21</f>
        <v>50000</v>
      </c>
      <c r="D17" s="60">
        <f>$C$17</f>
        <v>50000</v>
      </c>
      <c r="E17" s="60">
        <f>D17*(1+$C$18)</f>
        <v>51500</v>
      </c>
      <c r="F17" s="60">
        <f t="shared" ref="F17:H17" si="2">E17*(1+$C$18)</f>
        <v>53045</v>
      </c>
      <c r="G17" s="60">
        <f t="shared" si="2"/>
        <v>54636.35</v>
      </c>
      <c r="H17" s="61">
        <f t="shared" si="2"/>
        <v>56275.440499999997</v>
      </c>
      <c r="J17" s="13" t="s">
        <v>246</v>
      </c>
    </row>
    <row r="18" spans="2:10">
      <c r="B18" s="22" t="s">
        <v>159</v>
      </c>
      <c r="C18" s="96">
        <f>'START HERE - Summary Input Page'!D23</f>
        <v>0.03</v>
      </c>
      <c r="D18" s="60"/>
      <c r="E18" s="60"/>
      <c r="F18" s="60"/>
      <c r="G18" s="60"/>
      <c r="H18" s="61"/>
      <c r="J18" s="13" t="s">
        <v>244</v>
      </c>
    </row>
    <row r="19" spans="2:10">
      <c r="B19" s="20"/>
      <c r="C19" s="62"/>
      <c r="D19" s="33"/>
      <c r="E19" s="33"/>
      <c r="F19" s="33"/>
      <c r="G19" s="33"/>
      <c r="H19" s="21"/>
    </row>
    <row r="20" spans="2:10" ht="14.25" customHeight="1" thickBot="1">
      <c r="B20" s="36" t="s">
        <v>92</v>
      </c>
      <c r="C20" s="71"/>
      <c r="D20" s="175">
        <f>'START HERE - Summary Input Page'!D22</f>
        <v>1.5</v>
      </c>
      <c r="E20" s="173">
        <v>2.5</v>
      </c>
      <c r="F20" s="173">
        <v>2.5</v>
      </c>
      <c r="G20" s="173">
        <v>2.5</v>
      </c>
      <c r="H20" s="174">
        <v>2.5</v>
      </c>
      <c r="J20" s="13" t="s">
        <v>245</v>
      </c>
    </row>
    <row r="21" spans="2:10" ht="13" thickBot="1">
      <c r="B21" s="33"/>
      <c r="C21" s="62"/>
      <c r="D21" s="33"/>
    </row>
    <row r="22" spans="2:10">
      <c r="B22" s="75"/>
      <c r="C22" s="78"/>
      <c r="D22" s="68" t="s">
        <v>7</v>
      </c>
      <c r="E22" s="69" t="s">
        <v>8</v>
      </c>
      <c r="F22" s="69" t="s">
        <v>9</v>
      </c>
      <c r="G22" s="69" t="s">
        <v>10</v>
      </c>
      <c r="H22" s="70" t="s">
        <v>11</v>
      </c>
    </row>
    <row r="23" spans="2:10">
      <c r="B23" s="22" t="s">
        <v>93</v>
      </c>
      <c r="C23" s="95">
        <f>'START HERE - Summary Input Page'!D25</f>
        <v>80000</v>
      </c>
      <c r="D23" s="60">
        <f>$C$23</f>
        <v>80000</v>
      </c>
      <c r="E23" s="60">
        <f>D23*(1+$C$24)</f>
        <v>82400</v>
      </c>
      <c r="F23" s="60">
        <f t="shared" ref="F23:H23" si="3">E23*(1+$C$24)</f>
        <v>84872</v>
      </c>
      <c r="G23" s="60">
        <f t="shared" si="3"/>
        <v>87418.16</v>
      </c>
      <c r="H23" s="61">
        <f t="shared" si="3"/>
        <v>90040.704800000007</v>
      </c>
      <c r="J23" s="13" t="s">
        <v>246</v>
      </c>
    </row>
    <row r="24" spans="2:10">
      <c r="B24" s="22" t="s">
        <v>159</v>
      </c>
      <c r="C24" s="96">
        <f>'START HERE - Summary Input Page'!D27</f>
        <v>0.03</v>
      </c>
      <c r="D24" s="60"/>
      <c r="E24" s="60"/>
      <c r="F24" s="60"/>
      <c r="G24" s="60"/>
      <c r="H24" s="61"/>
      <c r="J24" s="13" t="s">
        <v>244</v>
      </c>
    </row>
    <row r="25" spans="2:10">
      <c r="B25" s="20"/>
      <c r="C25" s="33"/>
      <c r="D25" s="33"/>
      <c r="E25" s="33"/>
      <c r="F25" s="33"/>
      <c r="G25" s="33"/>
      <c r="H25" s="21"/>
    </row>
    <row r="26" spans="2:10" ht="13" thickBot="1">
      <c r="B26" s="36" t="s">
        <v>87</v>
      </c>
      <c r="C26" s="37"/>
      <c r="D26" s="175">
        <f>'START HERE - Summary Input Page'!D26</f>
        <v>1</v>
      </c>
      <c r="E26" s="173">
        <v>1</v>
      </c>
      <c r="F26" s="173">
        <v>1</v>
      </c>
      <c r="G26" s="173">
        <v>1</v>
      </c>
      <c r="H26" s="174">
        <v>1</v>
      </c>
      <c r="J26" s="13" t="s">
        <v>245</v>
      </c>
    </row>
    <row r="27" spans="2:10" ht="13" thickBot="1">
      <c r="B27" s="48"/>
      <c r="C27" s="33"/>
      <c r="D27" s="91"/>
      <c r="E27" s="91"/>
      <c r="F27" s="91"/>
      <c r="G27" s="91"/>
      <c r="H27" s="91"/>
    </row>
    <row r="28" spans="2:10">
      <c r="B28" s="75"/>
      <c r="C28" s="56"/>
      <c r="D28" s="68" t="s">
        <v>7</v>
      </c>
      <c r="E28" s="69" t="s">
        <v>8</v>
      </c>
      <c r="F28" s="69" t="s">
        <v>9</v>
      </c>
      <c r="G28" s="69" t="s">
        <v>10</v>
      </c>
      <c r="H28" s="70" t="s">
        <v>11</v>
      </c>
    </row>
    <row r="29" spans="2:10" ht="13" thickBot="1">
      <c r="B29" s="36" t="s">
        <v>138</v>
      </c>
      <c r="C29" s="94">
        <f>'START HERE - Summary Input Page'!D29</f>
        <v>0.25750000000000001</v>
      </c>
      <c r="D29" s="94">
        <v>0.25750000000000001</v>
      </c>
      <c r="E29" s="92">
        <f>D29+'START HERE - Summary Input Page'!$D$30</f>
        <v>0.26</v>
      </c>
      <c r="F29" s="92">
        <f>E29+'START HERE - Summary Input Page'!$D$30</f>
        <v>0.26250000000000001</v>
      </c>
      <c r="G29" s="92">
        <f>F29+'START HERE - Summary Input Page'!$D$30</f>
        <v>0.26500000000000001</v>
      </c>
      <c r="H29" s="93">
        <f>G29+'START HERE - Summary Input Page'!$D$30</f>
        <v>0.26750000000000002</v>
      </c>
      <c r="J29" s="13" t="s">
        <v>246</v>
      </c>
    </row>
    <row r="32" spans="2:10">
      <c r="B32" s="33"/>
      <c r="D32" s="11" t="s">
        <v>7</v>
      </c>
      <c r="E32" s="12" t="s">
        <v>8</v>
      </c>
      <c r="F32" s="12" t="s">
        <v>9</v>
      </c>
      <c r="G32" s="12" t="s">
        <v>10</v>
      </c>
      <c r="H32" s="12" t="s">
        <v>11</v>
      </c>
    </row>
    <row r="33" spans="2:10">
      <c r="B33" s="48" t="s">
        <v>90</v>
      </c>
      <c r="D33" s="41">
        <f>D8*D5</f>
        <v>240000</v>
      </c>
      <c r="E33" s="41">
        <f t="shared" ref="E33:H33" si="4">E8*E5</f>
        <v>370800</v>
      </c>
      <c r="F33" s="41">
        <f t="shared" si="4"/>
        <v>381924</v>
      </c>
      <c r="G33" s="41">
        <f t="shared" si="4"/>
        <v>393381.72</v>
      </c>
      <c r="H33" s="41">
        <f t="shared" si="4"/>
        <v>405183.17159999994</v>
      </c>
      <c r="J33" s="13" t="s">
        <v>247</v>
      </c>
    </row>
    <row r="34" spans="2:10">
      <c r="B34" s="48" t="s">
        <v>88</v>
      </c>
      <c r="D34" s="79">
        <f>D14*D11</f>
        <v>150000</v>
      </c>
      <c r="E34" s="79">
        <f t="shared" ref="E34:H34" si="5">E14*E11</f>
        <v>154500</v>
      </c>
      <c r="F34" s="79">
        <f t="shared" si="5"/>
        <v>159135</v>
      </c>
      <c r="G34" s="79">
        <f t="shared" si="5"/>
        <v>163909.04999999999</v>
      </c>
      <c r="H34" s="79">
        <f t="shared" si="5"/>
        <v>168826.32149999999</v>
      </c>
      <c r="J34" s="13" t="s">
        <v>248</v>
      </c>
    </row>
    <row r="35" spans="2:10">
      <c r="B35" s="48" t="s">
        <v>89</v>
      </c>
      <c r="D35" s="50">
        <f>D20*D17</f>
        <v>75000</v>
      </c>
      <c r="E35" s="50">
        <f>E20*E17</f>
        <v>128750</v>
      </c>
      <c r="F35" s="50">
        <f t="shared" ref="F35:H35" si="6">F20*F17</f>
        <v>132612.5</v>
      </c>
      <c r="G35" s="50">
        <f t="shared" si="6"/>
        <v>136590.875</v>
      </c>
      <c r="H35" s="50">
        <f t="shared" si="6"/>
        <v>140688.60125000001</v>
      </c>
      <c r="J35" s="13" t="s">
        <v>249</v>
      </c>
    </row>
    <row r="36" spans="2:10">
      <c r="B36" s="48" t="s">
        <v>93</v>
      </c>
      <c r="D36" s="45">
        <f>D26*D23</f>
        <v>80000</v>
      </c>
      <c r="E36" s="45">
        <f t="shared" ref="E36:H36" si="7">E26*E23</f>
        <v>82400</v>
      </c>
      <c r="F36" s="45">
        <f t="shared" si="7"/>
        <v>84872</v>
      </c>
      <c r="G36" s="45">
        <f t="shared" si="7"/>
        <v>87418.16</v>
      </c>
      <c r="H36" s="45">
        <f t="shared" si="7"/>
        <v>90040.704800000007</v>
      </c>
      <c r="J36" s="13" t="s">
        <v>250</v>
      </c>
    </row>
    <row r="37" spans="2:10">
      <c r="B37" s="133" t="s">
        <v>83</v>
      </c>
      <c r="D37" s="41">
        <f>SUM(D33:D36)</f>
        <v>545000</v>
      </c>
      <c r="E37" s="41">
        <f>SUM(E33:E36)</f>
        <v>736450</v>
      </c>
      <c r="F37" s="41">
        <f>SUM(F33:F36)</f>
        <v>758543.5</v>
      </c>
      <c r="G37" s="41">
        <f>SUM(G33:G36)</f>
        <v>781299.80500000005</v>
      </c>
      <c r="H37" s="41">
        <f>SUM(H33:H36)</f>
        <v>804738.79914999986</v>
      </c>
      <c r="J37" s="13" t="s">
        <v>251</v>
      </c>
    </row>
    <row r="38" spans="2:10" ht="13" thickBot="1">
      <c r="B38" s="80" t="s">
        <v>12</v>
      </c>
      <c r="D38" s="81">
        <f>D37*D29</f>
        <v>140337.5</v>
      </c>
      <c r="E38" s="81">
        <f>E37*E29</f>
        <v>191477</v>
      </c>
      <c r="F38" s="81">
        <f>F37*F29</f>
        <v>199117.66875000001</v>
      </c>
      <c r="G38" s="81">
        <f>G37*G29</f>
        <v>207044.44832500003</v>
      </c>
      <c r="H38" s="81">
        <f>H37*H29</f>
        <v>215267.62877262497</v>
      </c>
      <c r="J38" s="13" t="s">
        <v>252</v>
      </c>
    </row>
    <row r="39" spans="2:10" ht="13" thickTop="1">
      <c r="B39" s="133" t="s">
        <v>94</v>
      </c>
      <c r="D39" s="43">
        <f>D38+D37</f>
        <v>685337.5</v>
      </c>
      <c r="E39" s="43">
        <f>E38+E37</f>
        <v>927927</v>
      </c>
      <c r="F39" s="43">
        <f>F38+F37</f>
        <v>957661.16874999995</v>
      </c>
      <c r="G39" s="43">
        <f>G38+G37</f>
        <v>988344.25332500006</v>
      </c>
      <c r="H39" s="43">
        <f>H38+H37</f>
        <v>1020006.4279226249</v>
      </c>
    </row>
  </sheetData>
  <pageMargins left="0.7" right="0.7" top="0.75" bottom="0.75" header="0.3" footer="0.3"/>
  <pageSetup scale="73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workbookViewId="0">
      <selection activeCell="G11" sqref="G11"/>
    </sheetView>
  </sheetViews>
  <sheetFormatPr baseColWidth="10" defaultColWidth="8.83203125" defaultRowHeight="12" x14ac:dyDescent="0"/>
  <cols>
    <col min="1" max="1" width="25.1640625" customWidth="1"/>
    <col min="2" max="2" width="38.1640625" bestFit="1" customWidth="1"/>
    <col min="3" max="3" width="12.33203125" bestFit="1" customWidth="1"/>
    <col min="4" max="4" width="14.1640625" bestFit="1" customWidth="1"/>
    <col min="5" max="5" width="12" bestFit="1" customWidth="1"/>
    <col min="6" max="6" width="8.83203125" style="46"/>
    <col min="7" max="7" width="38.1640625" bestFit="1" customWidth="1"/>
    <col min="8" max="8" width="12.33203125" bestFit="1" customWidth="1"/>
    <col min="9" max="9" width="11.5" bestFit="1" customWidth="1"/>
    <col min="10" max="10" width="12" bestFit="1" customWidth="1"/>
  </cols>
  <sheetData>
    <row r="1" spans="1:11">
      <c r="A1" s="13"/>
    </row>
    <row r="2" spans="1:11">
      <c r="B2" s="13" t="s">
        <v>58</v>
      </c>
    </row>
    <row r="3" spans="1:11" ht="13" thickBot="1">
      <c r="B3" s="13" t="s">
        <v>61</v>
      </c>
    </row>
    <row r="4" spans="1:11" ht="13" thickBot="1">
      <c r="G4" s="30" t="s">
        <v>52</v>
      </c>
      <c r="H4" s="85">
        <v>4</v>
      </c>
      <c r="K4" s="13"/>
    </row>
    <row r="5" spans="1:11">
      <c r="B5" s="30" t="s">
        <v>50</v>
      </c>
      <c r="C5" s="19"/>
      <c r="G5" s="20"/>
      <c r="H5" s="23"/>
    </row>
    <row r="6" spans="1:11">
      <c r="B6" s="20"/>
      <c r="C6" s="21"/>
      <c r="G6" s="22" t="s">
        <v>23</v>
      </c>
      <c r="H6" s="23">
        <v>2</v>
      </c>
      <c r="K6" s="13"/>
    </row>
    <row r="7" spans="1:11">
      <c r="B7" s="22" t="s">
        <v>24</v>
      </c>
      <c r="C7" s="23">
        <f>'Salary Expense by Course'!H4</f>
        <v>4</v>
      </c>
      <c r="G7" s="20"/>
      <c r="H7" s="23"/>
    </row>
    <row r="8" spans="1:11" ht="13" thickBot="1">
      <c r="B8" s="20"/>
      <c r="C8" s="23"/>
      <c r="G8" s="36" t="s">
        <v>110</v>
      </c>
      <c r="H8" s="39">
        <v>0.05</v>
      </c>
      <c r="K8" s="13"/>
    </row>
    <row r="9" spans="1:11">
      <c r="B9" s="22" t="s">
        <v>23</v>
      </c>
      <c r="C9" s="23">
        <f>'Salary Expense by Course'!H6</f>
        <v>2</v>
      </c>
    </row>
    <row r="10" spans="1:11">
      <c r="B10" s="20"/>
      <c r="C10" s="23"/>
    </row>
    <row r="11" spans="1:11">
      <c r="B11" s="22" t="s">
        <v>25</v>
      </c>
      <c r="C11" s="23">
        <f>C9*C7</f>
        <v>8</v>
      </c>
    </row>
    <row r="12" spans="1:11">
      <c r="B12" s="20"/>
      <c r="C12" s="23"/>
    </row>
    <row r="13" spans="1:11">
      <c r="B13" s="22" t="s">
        <v>62</v>
      </c>
      <c r="C13" s="23">
        <v>1.5</v>
      </c>
    </row>
    <row r="14" spans="1:11">
      <c r="B14" s="20"/>
      <c r="C14" s="23"/>
    </row>
    <row r="15" spans="1:11" ht="13" thickBot="1">
      <c r="B15" s="36" t="s">
        <v>26</v>
      </c>
      <c r="C15" s="39">
        <v>0.1</v>
      </c>
    </row>
    <row r="17" spans="1:10" ht="13" thickBot="1"/>
    <row r="18" spans="1:10">
      <c r="B18" s="18" t="s">
        <v>60</v>
      </c>
      <c r="C18" s="31" t="s">
        <v>20</v>
      </c>
      <c r="D18" s="31" t="s">
        <v>37</v>
      </c>
      <c r="E18" s="32" t="s">
        <v>35</v>
      </c>
      <c r="G18" s="18" t="s">
        <v>63</v>
      </c>
      <c r="H18" s="31" t="s">
        <v>20</v>
      </c>
      <c r="I18" s="31" t="s">
        <v>37</v>
      </c>
      <c r="J18" s="32" t="s">
        <v>35</v>
      </c>
    </row>
    <row r="19" spans="1:10">
      <c r="B19" s="22" t="s">
        <v>27</v>
      </c>
      <c r="C19" s="34">
        <v>150000</v>
      </c>
      <c r="D19" s="34">
        <v>1</v>
      </c>
      <c r="E19" s="21">
        <f>$C$15*D19*C19</f>
        <v>15000</v>
      </c>
      <c r="G19" s="22" t="s">
        <v>27</v>
      </c>
      <c r="H19" s="34">
        <v>150000</v>
      </c>
      <c r="I19" s="34">
        <f>$C$13</f>
        <v>1.5</v>
      </c>
      <c r="J19" s="21">
        <f>$C$15*I19*H19</f>
        <v>22500.000000000004</v>
      </c>
    </row>
    <row r="20" spans="1:10">
      <c r="B20" s="22" t="s">
        <v>28</v>
      </c>
      <c r="C20" s="34">
        <v>150000</v>
      </c>
      <c r="D20" s="34">
        <v>1</v>
      </c>
      <c r="E20" s="21">
        <f t="shared" ref="E20:E26" si="0">$C$15*D20*C20</f>
        <v>15000</v>
      </c>
      <c r="G20" s="22" t="s">
        <v>28</v>
      </c>
      <c r="H20" s="34">
        <v>150000</v>
      </c>
      <c r="I20" s="34">
        <f t="shared" ref="I20:I26" si="1">$C$13</f>
        <v>1.5</v>
      </c>
      <c r="J20" s="21">
        <f t="shared" ref="J20:J26" si="2">$C$15*I20*H20</f>
        <v>22500.000000000004</v>
      </c>
    </row>
    <row r="21" spans="1:10">
      <c r="B21" s="22" t="s">
        <v>29</v>
      </c>
      <c r="C21" s="34">
        <v>150000</v>
      </c>
      <c r="D21" s="34">
        <v>1</v>
      </c>
      <c r="E21" s="21">
        <f t="shared" si="0"/>
        <v>15000</v>
      </c>
      <c r="G21" s="22" t="s">
        <v>29</v>
      </c>
      <c r="H21" s="34">
        <v>150000</v>
      </c>
      <c r="I21" s="34">
        <f t="shared" si="1"/>
        <v>1.5</v>
      </c>
      <c r="J21" s="21">
        <f t="shared" si="2"/>
        <v>22500.000000000004</v>
      </c>
    </row>
    <row r="22" spans="1:10">
      <c r="B22" s="22" t="s">
        <v>30</v>
      </c>
      <c r="C22" s="34">
        <v>150000</v>
      </c>
      <c r="D22" s="34">
        <v>1</v>
      </c>
      <c r="E22" s="21">
        <f t="shared" si="0"/>
        <v>15000</v>
      </c>
      <c r="G22" s="22" t="s">
        <v>30</v>
      </c>
      <c r="H22" s="34">
        <v>150000</v>
      </c>
      <c r="I22" s="34">
        <f t="shared" si="1"/>
        <v>1.5</v>
      </c>
      <c r="J22" s="21">
        <f t="shared" si="2"/>
        <v>22500.000000000004</v>
      </c>
    </row>
    <row r="23" spans="1:10">
      <c r="B23" s="22" t="s">
        <v>31</v>
      </c>
      <c r="C23" s="34">
        <v>150000</v>
      </c>
      <c r="D23" s="34">
        <v>1</v>
      </c>
      <c r="E23" s="21">
        <f t="shared" si="0"/>
        <v>15000</v>
      </c>
      <c r="G23" s="22" t="s">
        <v>31</v>
      </c>
      <c r="H23" s="34">
        <v>150000</v>
      </c>
      <c r="I23" s="34">
        <f t="shared" si="1"/>
        <v>1.5</v>
      </c>
      <c r="J23" s="21">
        <f t="shared" si="2"/>
        <v>22500.000000000004</v>
      </c>
    </row>
    <row r="24" spans="1:10">
      <c r="B24" s="22" t="s">
        <v>32</v>
      </c>
      <c r="C24" s="34">
        <v>150000</v>
      </c>
      <c r="D24" s="34">
        <v>1</v>
      </c>
      <c r="E24" s="21">
        <f t="shared" si="0"/>
        <v>15000</v>
      </c>
      <c r="G24" s="22" t="s">
        <v>32</v>
      </c>
      <c r="H24" s="34">
        <v>150000</v>
      </c>
      <c r="I24" s="34">
        <f t="shared" si="1"/>
        <v>1.5</v>
      </c>
      <c r="J24" s="21">
        <f t="shared" si="2"/>
        <v>22500.000000000004</v>
      </c>
    </row>
    <row r="25" spans="1:10">
      <c r="B25" s="22" t="s">
        <v>33</v>
      </c>
      <c r="C25" s="34">
        <v>150000</v>
      </c>
      <c r="D25" s="34">
        <v>1</v>
      </c>
      <c r="E25" s="21">
        <f t="shared" si="0"/>
        <v>15000</v>
      </c>
      <c r="G25" s="22" t="s">
        <v>33</v>
      </c>
      <c r="H25" s="34">
        <v>150000</v>
      </c>
      <c r="I25" s="34">
        <f t="shared" si="1"/>
        <v>1.5</v>
      </c>
      <c r="J25" s="21">
        <f t="shared" si="2"/>
        <v>22500.000000000004</v>
      </c>
    </row>
    <row r="26" spans="1:10" ht="13" thickBot="1">
      <c r="B26" s="22" t="s">
        <v>34</v>
      </c>
      <c r="C26" s="34">
        <v>150000</v>
      </c>
      <c r="D26" s="16">
        <v>1</v>
      </c>
      <c r="E26" s="35">
        <f t="shared" si="0"/>
        <v>15000</v>
      </c>
      <c r="G26" s="22" t="s">
        <v>34</v>
      </c>
      <c r="H26" s="34">
        <v>150000</v>
      </c>
      <c r="I26" s="16">
        <f t="shared" si="1"/>
        <v>1.5</v>
      </c>
      <c r="J26" s="35">
        <f t="shared" si="2"/>
        <v>22500.000000000004</v>
      </c>
    </row>
    <row r="27" spans="1:10" ht="14" thickTop="1" thickBot="1">
      <c r="B27" s="36" t="s">
        <v>36</v>
      </c>
      <c r="C27" s="37"/>
      <c r="D27" s="37">
        <f>SUM(D19:D26)</f>
        <v>8</v>
      </c>
      <c r="E27" s="38">
        <f>SUM(E19:E26)</f>
        <v>120000</v>
      </c>
      <c r="G27" s="36" t="s">
        <v>36</v>
      </c>
      <c r="H27" s="37"/>
      <c r="I27" s="37">
        <f>SUM(I19:I26)</f>
        <v>12</v>
      </c>
      <c r="J27" s="38">
        <f>SUM(J19:J26)</f>
        <v>180000.00000000003</v>
      </c>
    </row>
    <row r="29" spans="1:10" ht="13" thickBot="1"/>
    <row r="30" spans="1:10">
      <c r="B30" s="18" t="s">
        <v>40</v>
      </c>
      <c r="C30" s="19"/>
      <c r="G30" s="18" t="s">
        <v>40</v>
      </c>
      <c r="H30" s="19"/>
    </row>
    <row r="31" spans="1:10">
      <c r="B31" s="20"/>
      <c r="C31" s="21"/>
      <c r="G31" s="20"/>
      <c r="H31" s="21"/>
    </row>
    <row r="32" spans="1:10">
      <c r="A32" s="13" t="s">
        <v>96</v>
      </c>
      <c r="B32" s="22" t="s">
        <v>39</v>
      </c>
      <c r="C32" s="23">
        <v>8</v>
      </c>
      <c r="G32" s="22" t="s">
        <v>39</v>
      </c>
      <c r="H32" s="23">
        <v>8</v>
      </c>
    </row>
    <row r="33" spans="1:8">
      <c r="A33" s="13" t="s">
        <v>59</v>
      </c>
      <c r="B33" s="20"/>
      <c r="C33" s="23"/>
      <c r="G33" s="20"/>
      <c r="H33" s="23"/>
    </row>
    <row r="34" spans="1:8">
      <c r="B34" s="22" t="s">
        <v>38</v>
      </c>
      <c r="C34" s="23">
        <f>C11</f>
        <v>8</v>
      </c>
      <c r="G34" s="22" t="s">
        <v>38</v>
      </c>
      <c r="H34" s="23">
        <f>C13*C11</f>
        <v>12</v>
      </c>
    </row>
    <row r="35" spans="1:8">
      <c r="B35" s="20"/>
      <c r="C35" s="21"/>
      <c r="G35" s="20"/>
      <c r="H35" s="21"/>
    </row>
    <row r="36" spans="1:8">
      <c r="B36" s="22" t="s">
        <v>41</v>
      </c>
      <c r="C36" s="40">
        <f>C34/C32</f>
        <v>1</v>
      </c>
      <c r="G36" s="22" t="s">
        <v>41</v>
      </c>
      <c r="H36" s="40">
        <f>H34/H32</f>
        <v>1.5</v>
      </c>
    </row>
    <row r="37" spans="1:8">
      <c r="B37" s="20"/>
      <c r="C37" s="21"/>
      <c r="G37" s="20"/>
      <c r="H37" s="21"/>
    </row>
    <row r="38" spans="1:8">
      <c r="B38" s="22" t="s">
        <v>42</v>
      </c>
      <c r="C38" s="24">
        <v>100000</v>
      </c>
      <c r="G38" s="22" t="s">
        <v>42</v>
      </c>
      <c r="H38" s="24">
        <v>100000</v>
      </c>
    </row>
    <row r="39" spans="1:8">
      <c r="B39" s="20"/>
      <c r="C39" s="21"/>
      <c r="G39" s="20"/>
      <c r="H39" s="21"/>
    </row>
    <row r="40" spans="1:8" ht="13" thickBot="1">
      <c r="B40" s="25" t="s">
        <v>43</v>
      </c>
      <c r="C40" s="29">
        <f>C38*C36</f>
        <v>100000</v>
      </c>
      <c r="G40" s="25" t="s">
        <v>43</v>
      </c>
      <c r="H40" s="26">
        <f>H38*H36</f>
        <v>150000</v>
      </c>
    </row>
    <row r="42" spans="1:8" ht="13" thickBot="1"/>
    <row r="43" spans="1:8">
      <c r="B43" s="18" t="s">
        <v>45</v>
      </c>
      <c r="C43" s="19"/>
      <c r="G43" s="18" t="s">
        <v>45</v>
      </c>
      <c r="H43" s="19"/>
    </row>
    <row r="44" spans="1:8">
      <c r="B44" s="20"/>
      <c r="C44" s="21"/>
      <c r="G44" s="20"/>
      <c r="H44" s="21"/>
    </row>
    <row r="45" spans="1:8">
      <c r="A45" s="13" t="s">
        <v>96</v>
      </c>
      <c r="B45" s="22" t="s">
        <v>44</v>
      </c>
      <c r="C45" s="23">
        <v>12</v>
      </c>
      <c r="D45" s="13"/>
      <c r="G45" s="22" t="s">
        <v>44</v>
      </c>
      <c r="H45" s="23">
        <v>12</v>
      </c>
    </row>
    <row r="46" spans="1:8">
      <c r="A46" s="13" t="s">
        <v>59</v>
      </c>
      <c r="B46" s="20"/>
      <c r="C46" s="23"/>
      <c r="D46" s="13"/>
      <c r="G46" s="20"/>
      <c r="H46" s="23"/>
    </row>
    <row r="47" spans="1:8">
      <c r="B47" s="22" t="s">
        <v>38</v>
      </c>
      <c r="C47" s="23">
        <f>C11</f>
        <v>8</v>
      </c>
      <c r="G47" s="22" t="s">
        <v>38</v>
      </c>
      <c r="H47" s="23">
        <f>C13*C11</f>
        <v>12</v>
      </c>
    </row>
    <row r="48" spans="1:8">
      <c r="B48" s="20"/>
      <c r="C48" s="21"/>
      <c r="G48" s="20"/>
      <c r="H48" s="21"/>
    </row>
    <row r="49" spans="1:8">
      <c r="B49" s="22" t="s">
        <v>97</v>
      </c>
      <c r="C49" s="27">
        <f>C47/C45</f>
        <v>0.66666666666666663</v>
      </c>
      <c r="G49" s="22" t="s">
        <v>97</v>
      </c>
      <c r="H49" s="27">
        <f>H47/H45</f>
        <v>1</v>
      </c>
    </row>
    <row r="50" spans="1:8">
      <c r="B50" s="20"/>
      <c r="C50" s="21"/>
      <c r="G50" s="20"/>
      <c r="H50" s="21"/>
    </row>
    <row r="51" spans="1:8">
      <c r="B51" s="22" t="s">
        <v>98</v>
      </c>
      <c r="C51" s="28">
        <v>80000</v>
      </c>
      <c r="G51" s="22" t="s">
        <v>98</v>
      </c>
      <c r="H51" s="28">
        <v>80000</v>
      </c>
    </row>
    <row r="52" spans="1:8">
      <c r="B52" s="20"/>
      <c r="C52" s="21"/>
      <c r="G52" s="20"/>
      <c r="H52" s="21"/>
    </row>
    <row r="53" spans="1:8" ht="13" thickBot="1">
      <c r="B53" s="25" t="s">
        <v>99</v>
      </c>
      <c r="C53" s="26">
        <f>C51*C49</f>
        <v>53333.333333333328</v>
      </c>
      <c r="G53" s="25" t="s">
        <v>99</v>
      </c>
      <c r="H53" s="26">
        <f>H51*H49</f>
        <v>80000</v>
      </c>
    </row>
    <row r="55" spans="1:8" ht="13" thickBot="1"/>
    <row r="56" spans="1:8">
      <c r="B56" s="18" t="s">
        <v>100</v>
      </c>
      <c r="C56" s="19"/>
      <c r="G56" s="18" t="s">
        <v>100</v>
      </c>
      <c r="H56" s="19"/>
    </row>
    <row r="57" spans="1:8">
      <c r="B57" s="20"/>
      <c r="C57" s="21"/>
      <c r="G57" s="20"/>
      <c r="H57" s="21"/>
    </row>
    <row r="58" spans="1:8">
      <c r="A58" s="13" t="s">
        <v>96</v>
      </c>
      <c r="B58" s="22" t="s">
        <v>46</v>
      </c>
      <c r="C58" s="23">
        <v>10</v>
      </c>
      <c r="D58" s="13"/>
      <c r="G58" s="22" t="s">
        <v>46</v>
      </c>
      <c r="H58" s="23">
        <v>10</v>
      </c>
    </row>
    <row r="59" spans="1:8">
      <c r="A59" s="13" t="s">
        <v>59</v>
      </c>
      <c r="B59" s="20"/>
      <c r="C59" s="21"/>
      <c r="D59" s="13"/>
      <c r="G59" s="20"/>
      <c r="H59" s="21"/>
    </row>
    <row r="60" spans="1:8">
      <c r="B60" s="22" t="s">
        <v>38</v>
      </c>
      <c r="C60" s="23">
        <f>C11</f>
        <v>8</v>
      </c>
      <c r="G60" s="22" t="s">
        <v>38</v>
      </c>
      <c r="H60" s="23">
        <f>C13*C11</f>
        <v>12</v>
      </c>
    </row>
    <row r="61" spans="1:8">
      <c r="B61" s="20"/>
      <c r="C61" s="21"/>
      <c r="G61" s="20"/>
      <c r="H61" s="21"/>
    </row>
    <row r="62" spans="1:8">
      <c r="B62" s="22" t="s">
        <v>47</v>
      </c>
      <c r="C62" s="40">
        <f>C60/C58</f>
        <v>0.8</v>
      </c>
      <c r="G62" s="22" t="s">
        <v>47</v>
      </c>
      <c r="H62" s="40">
        <f>H60/H58</f>
        <v>1.2</v>
      </c>
    </row>
    <row r="63" spans="1:8">
      <c r="B63" s="20"/>
      <c r="C63" s="21"/>
      <c r="G63" s="20"/>
      <c r="H63" s="21"/>
    </row>
    <row r="64" spans="1:8">
      <c r="B64" s="22" t="s">
        <v>48</v>
      </c>
      <c r="C64" s="24">
        <v>75000</v>
      </c>
      <c r="G64" s="22" t="s">
        <v>48</v>
      </c>
      <c r="H64" s="24">
        <v>75000</v>
      </c>
    </row>
    <row r="65" spans="2:8">
      <c r="B65" s="20"/>
      <c r="C65" s="21"/>
      <c r="G65" s="20"/>
      <c r="H65" s="21"/>
    </row>
    <row r="66" spans="2:8" ht="13" thickBot="1">
      <c r="B66" s="25" t="s">
        <v>49</v>
      </c>
      <c r="C66" s="26">
        <f>C64*C62</f>
        <v>60000</v>
      </c>
      <c r="G66" s="25" t="s">
        <v>49</v>
      </c>
      <c r="H66" s="26">
        <f>H64*H62</f>
        <v>90000</v>
      </c>
    </row>
    <row r="69" spans="2:8">
      <c r="B69" s="14" t="s">
        <v>95</v>
      </c>
      <c r="C69" s="15">
        <f>SUM(C66+C53+C40+E27)</f>
        <v>333333.33333333331</v>
      </c>
      <c r="G69" s="14" t="s">
        <v>95</v>
      </c>
      <c r="H69" s="15">
        <f>SUM(H66+H53+H40+J27)</f>
        <v>500000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7"/>
  <sheetViews>
    <sheetView view="pageBreakPreview" zoomScaleSheetLayoutView="100" workbookViewId="0">
      <selection activeCell="K68" sqref="K68"/>
    </sheetView>
  </sheetViews>
  <sheetFormatPr baseColWidth="10" defaultColWidth="8.83203125" defaultRowHeight="12" x14ac:dyDescent="0"/>
  <cols>
    <col min="1" max="1" width="4.6640625" customWidth="1"/>
    <col min="2" max="2" width="42.33203125" customWidth="1"/>
    <col min="3" max="4" width="13.5" customWidth="1"/>
    <col min="5" max="5" width="13" bestFit="1" customWidth="1"/>
    <col min="6" max="9" width="10.33203125" bestFit="1" customWidth="1"/>
    <col min="10" max="10" width="4.6640625" customWidth="1"/>
  </cols>
  <sheetData>
    <row r="2" spans="2:11" ht="17">
      <c r="B2" s="131" t="s">
        <v>186</v>
      </c>
    </row>
    <row r="4" spans="2:11" ht="14" thickBot="1">
      <c r="K4" s="114" t="s">
        <v>125</v>
      </c>
    </row>
    <row r="5" spans="2:11">
      <c r="B5" s="55" t="s">
        <v>13</v>
      </c>
      <c r="C5" s="56"/>
      <c r="D5" s="56"/>
      <c r="E5" s="56"/>
      <c r="F5" s="56"/>
      <c r="G5" s="56"/>
      <c r="H5" s="56"/>
      <c r="I5" s="19"/>
    </row>
    <row r="6" spans="2:11">
      <c r="B6" s="192" t="s">
        <v>238</v>
      </c>
      <c r="C6" s="193"/>
      <c r="D6" s="193"/>
      <c r="E6" s="193"/>
      <c r="F6" s="193"/>
      <c r="G6" s="193"/>
      <c r="H6" s="193"/>
      <c r="I6" s="21"/>
    </row>
    <row r="7" spans="2:11" ht="26.25" customHeight="1">
      <c r="B7" s="192"/>
      <c r="C7" s="193"/>
      <c r="D7" s="193"/>
      <c r="E7" s="193"/>
      <c r="F7" s="193"/>
      <c r="G7" s="193"/>
      <c r="H7" s="193"/>
      <c r="I7" s="21"/>
    </row>
    <row r="8" spans="2:11">
      <c r="B8" s="22"/>
      <c r="C8" s="33"/>
      <c r="D8" s="33"/>
      <c r="E8" s="33"/>
      <c r="F8" s="33"/>
      <c r="G8" s="33"/>
      <c r="H8" s="33"/>
      <c r="I8" s="21"/>
    </row>
    <row r="9" spans="2:11">
      <c r="B9" s="22" t="s">
        <v>74</v>
      </c>
      <c r="C9" s="176">
        <v>15</v>
      </c>
      <c r="D9" s="33"/>
      <c r="E9" s="57" t="s">
        <v>7</v>
      </c>
      <c r="F9" s="58" t="s">
        <v>8</v>
      </c>
      <c r="G9" s="58" t="s">
        <v>9</v>
      </c>
      <c r="H9" s="58" t="s">
        <v>10</v>
      </c>
      <c r="I9" s="59" t="s">
        <v>11</v>
      </c>
      <c r="K9" s="187" t="s">
        <v>253</v>
      </c>
    </row>
    <row r="10" spans="2:11">
      <c r="B10" s="22" t="s">
        <v>75</v>
      </c>
      <c r="C10" s="177">
        <v>2000</v>
      </c>
      <c r="D10" s="33"/>
      <c r="E10" s="60">
        <f>$C$11</f>
        <v>30000</v>
      </c>
      <c r="F10" s="60">
        <f>$C$11</f>
        <v>30000</v>
      </c>
      <c r="G10" s="60">
        <f>$C$11</f>
        <v>30000</v>
      </c>
      <c r="H10" s="60">
        <f>$C$11</f>
        <v>30000</v>
      </c>
      <c r="I10" s="61">
        <f>$C$11</f>
        <v>30000</v>
      </c>
    </row>
    <row r="11" spans="2:11" ht="13" thickBot="1">
      <c r="B11" s="36" t="s">
        <v>67</v>
      </c>
      <c r="C11" s="63">
        <f>C10*C9</f>
        <v>30000</v>
      </c>
      <c r="D11" s="37"/>
      <c r="E11" s="37"/>
      <c r="F11" s="37"/>
      <c r="G11" s="37"/>
      <c r="H11" s="37"/>
      <c r="I11" s="38"/>
    </row>
    <row r="12" spans="2:11">
      <c r="B12" s="33"/>
      <c r="C12" s="33"/>
      <c r="D12" s="33"/>
      <c r="E12" s="33"/>
      <c r="F12" s="33"/>
      <c r="G12" s="33"/>
      <c r="H12" s="33"/>
      <c r="I12" s="33"/>
    </row>
    <row r="13" spans="2:11">
      <c r="B13" s="33"/>
      <c r="C13" s="33"/>
      <c r="D13" s="33"/>
      <c r="E13" s="33"/>
      <c r="F13" s="33"/>
      <c r="G13" s="33"/>
      <c r="H13" s="33"/>
      <c r="I13" s="33"/>
    </row>
    <row r="15" spans="2:11" ht="13" thickBot="1"/>
    <row r="16" spans="2:11">
      <c r="B16" s="55" t="s">
        <v>14</v>
      </c>
      <c r="C16" s="56"/>
      <c r="D16" s="56"/>
      <c r="E16" s="56"/>
      <c r="F16" s="56"/>
      <c r="G16" s="56"/>
      <c r="H16" s="56"/>
      <c r="I16" s="19"/>
    </row>
    <row r="17" spans="2:11">
      <c r="B17" s="22" t="s">
        <v>117</v>
      </c>
      <c r="C17" s="33"/>
      <c r="D17" s="33"/>
      <c r="E17" s="33"/>
      <c r="F17" s="33"/>
      <c r="G17" s="33"/>
      <c r="H17" s="33"/>
      <c r="I17" s="21"/>
    </row>
    <row r="18" spans="2:11">
      <c r="B18" s="20"/>
      <c r="C18" s="33"/>
      <c r="D18" s="33"/>
      <c r="E18" s="33"/>
      <c r="F18" s="33"/>
      <c r="G18" s="33"/>
      <c r="H18" s="33"/>
      <c r="I18" s="21"/>
    </row>
    <row r="19" spans="2:11">
      <c r="B19" s="22" t="s">
        <v>73</v>
      </c>
      <c r="C19" s="64">
        <f>'Salary Expense'!D14+'Salary Expense'!D20+'Salary Expense'!D26</f>
        <v>4</v>
      </c>
      <c r="D19" s="48" t="s">
        <v>234</v>
      </c>
      <c r="E19" s="33"/>
      <c r="F19" s="33"/>
      <c r="G19" s="33"/>
      <c r="H19" s="33"/>
      <c r="I19" s="21"/>
    </row>
    <row r="20" spans="2:11">
      <c r="B20" s="22" t="s">
        <v>187</v>
      </c>
      <c r="C20" s="64">
        <f>'Salary Expense'!E14+'Salary Expense'!E20+'Salary Expense'!E26</f>
        <v>5</v>
      </c>
      <c r="D20" s="48" t="s">
        <v>234</v>
      </c>
      <c r="E20" s="33"/>
      <c r="F20" s="33"/>
      <c r="G20" s="33"/>
      <c r="H20" s="33"/>
      <c r="I20" s="21"/>
    </row>
    <row r="21" spans="2:11">
      <c r="B21" s="20"/>
      <c r="C21" s="64"/>
      <c r="D21" s="33"/>
      <c r="E21" s="33"/>
      <c r="F21" s="33"/>
      <c r="G21" s="33"/>
      <c r="H21" s="33"/>
      <c r="I21" s="21"/>
    </row>
    <row r="22" spans="2:11">
      <c r="B22" s="65" t="s">
        <v>72</v>
      </c>
      <c r="C22" s="33"/>
      <c r="D22" s="33"/>
      <c r="E22" s="57" t="s">
        <v>7</v>
      </c>
      <c r="F22" s="58" t="s">
        <v>8</v>
      </c>
      <c r="G22" s="58" t="s">
        <v>9</v>
      </c>
      <c r="H22" s="58" t="s">
        <v>10</v>
      </c>
      <c r="I22" s="59" t="s">
        <v>11</v>
      </c>
    </row>
    <row r="23" spans="2:11">
      <c r="B23" s="22" t="s">
        <v>68</v>
      </c>
      <c r="C23" s="178">
        <v>1500</v>
      </c>
      <c r="D23" s="33"/>
      <c r="E23" s="66">
        <f>C23*$C$19</f>
        <v>6000</v>
      </c>
      <c r="F23" s="66">
        <f>($C$20-$C$19)*C23</f>
        <v>1500</v>
      </c>
      <c r="G23" s="66">
        <v>0</v>
      </c>
      <c r="H23" s="66">
        <v>0</v>
      </c>
      <c r="I23" s="67">
        <v>0</v>
      </c>
      <c r="K23" s="13" t="s">
        <v>254</v>
      </c>
    </row>
    <row r="24" spans="2:11">
      <c r="B24" s="22" t="s">
        <v>69</v>
      </c>
      <c r="C24" s="178">
        <v>264</v>
      </c>
      <c r="D24" s="33"/>
      <c r="E24" s="66">
        <f t="shared" ref="E24:E26" si="0">C24*$C$19</f>
        <v>1056</v>
      </c>
      <c r="F24" s="66">
        <f t="shared" ref="F24:F26" si="1">($C$20-$C$19)*C24</f>
        <v>264</v>
      </c>
      <c r="G24" s="66">
        <v>0</v>
      </c>
      <c r="H24" s="66">
        <v>0</v>
      </c>
      <c r="I24" s="67">
        <v>0</v>
      </c>
      <c r="K24" s="13" t="s">
        <v>255</v>
      </c>
    </row>
    <row r="25" spans="2:11">
      <c r="B25" s="22" t="s">
        <v>70</v>
      </c>
      <c r="C25" s="178">
        <v>200</v>
      </c>
      <c r="D25" s="33"/>
      <c r="E25" s="66">
        <f t="shared" si="0"/>
        <v>800</v>
      </c>
      <c r="F25" s="66">
        <f t="shared" si="1"/>
        <v>200</v>
      </c>
      <c r="G25" s="66">
        <v>0</v>
      </c>
      <c r="H25" s="66">
        <v>0</v>
      </c>
      <c r="I25" s="67">
        <v>0</v>
      </c>
      <c r="K25" s="13" t="s">
        <v>256</v>
      </c>
    </row>
    <row r="26" spans="2:11">
      <c r="B26" s="22" t="s">
        <v>71</v>
      </c>
      <c r="C26" s="178">
        <v>75</v>
      </c>
      <c r="D26" s="33"/>
      <c r="E26" s="66">
        <f t="shared" si="0"/>
        <v>300</v>
      </c>
      <c r="F26" s="66">
        <f t="shared" si="1"/>
        <v>75</v>
      </c>
      <c r="G26" s="66">
        <v>0</v>
      </c>
      <c r="H26" s="66">
        <v>0</v>
      </c>
      <c r="I26" s="67">
        <v>0</v>
      </c>
      <c r="K26" s="13" t="s">
        <v>257</v>
      </c>
    </row>
    <row r="27" spans="2:11">
      <c r="B27" s="65" t="s">
        <v>76</v>
      </c>
      <c r="C27" s="33"/>
      <c r="D27" s="33"/>
      <c r="E27" s="48"/>
      <c r="F27" s="33"/>
      <c r="G27" s="33"/>
      <c r="H27" s="33"/>
      <c r="I27" s="21"/>
    </row>
    <row r="28" spans="2:11">
      <c r="B28" s="22" t="s">
        <v>70</v>
      </c>
      <c r="C28" s="178">
        <v>70</v>
      </c>
      <c r="D28" s="33"/>
      <c r="E28" s="66">
        <f>$C$19*C28*12</f>
        <v>3360</v>
      </c>
      <c r="F28" s="66">
        <f>$C$28*$C$20*12</f>
        <v>4200</v>
      </c>
      <c r="G28" s="66">
        <f t="shared" ref="G28:I28" si="2">$C$28*$C$20*12</f>
        <v>4200</v>
      </c>
      <c r="H28" s="66">
        <f t="shared" si="2"/>
        <v>4200</v>
      </c>
      <c r="I28" s="67">
        <f t="shared" si="2"/>
        <v>4200</v>
      </c>
      <c r="K28" s="13" t="s">
        <v>258</v>
      </c>
    </row>
    <row r="29" spans="2:11">
      <c r="B29" s="22" t="s">
        <v>198</v>
      </c>
      <c r="C29" s="178">
        <v>21</v>
      </c>
      <c r="D29" s="33"/>
      <c r="E29" s="66">
        <f>$C$19*C29*12</f>
        <v>1008</v>
      </c>
      <c r="F29" s="66">
        <f>$C$29*$C$20*12</f>
        <v>1260</v>
      </c>
      <c r="G29" s="66">
        <f t="shared" ref="G29:I29" si="3">$C$29*$C$20*12</f>
        <v>1260</v>
      </c>
      <c r="H29" s="66">
        <f t="shared" si="3"/>
        <v>1260</v>
      </c>
      <c r="I29" s="67">
        <f t="shared" si="3"/>
        <v>1260</v>
      </c>
      <c r="K29" s="13" t="s">
        <v>259</v>
      </c>
    </row>
    <row r="30" spans="2:11" ht="13" thickBot="1">
      <c r="B30" s="36" t="s">
        <v>69</v>
      </c>
      <c r="C30" s="183">
        <v>21</v>
      </c>
      <c r="D30" s="37"/>
      <c r="E30" s="63">
        <f>$C$19*C30*12</f>
        <v>1008</v>
      </c>
      <c r="F30" s="63">
        <f>$C$30*$C$20*12</f>
        <v>1260</v>
      </c>
      <c r="G30" s="63">
        <f t="shared" ref="G30:I30" si="4">$C$30*$C$20*12</f>
        <v>1260</v>
      </c>
      <c r="H30" s="63">
        <f t="shared" si="4"/>
        <v>1260</v>
      </c>
      <c r="I30" s="26">
        <f t="shared" si="4"/>
        <v>1260</v>
      </c>
      <c r="K30" s="13" t="s">
        <v>259</v>
      </c>
    </row>
    <row r="31" spans="2:11">
      <c r="B31" s="13"/>
      <c r="I31" s="97"/>
    </row>
    <row r="32" spans="2:11" ht="13" thickBot="1">
      <c r="B32" s="13"/>
      <c r="I32" s="97"/>
    </row>
    <row r="33" spans="1:11">
      <c r="A33" s="13"/>
      <c r="B33" s="55" t="s">
        <v>15</v>
      </c>
      <c r="C33" s="56"/>
      <c r="D33" s="56"/>
      <c r="E33" s="68" t="s">
        <v>7</v>
      </c>
      <c r="F33" s="69" t="s">
        <v>8</v>
      </c>
      <c r="G33" s="69" t="s">
        <v>9</v>
      </c>
      <c r="H33" s="69" t="s">
        <v>10</v>
      </c>
      <c r="I33" s="70" t="s">
        <v>11</v>
      </c>
    </row>
    <row r="34" spans="1:11">
      <c r="B34" s="22" t="s">
        <v>199</v>
      </c>
      <c r="C34" s="95">
        <f>'START HERE - Summary Input Page'!D33</f>
        <v>50000</v>
      </c>
      <c r="D34" s="33"/>
      <c r="E34" s="60">
        <f>C34</f>
        <v>50000</v>
      </c>
      <c r="F34" s="60">
        <f>E34*(1+$C$35)</f>
        <v>47500</v>
      </c>
      <c r="G34" s="60">
        <f>F34*(1+$C$35)</f>
        <v>45125</v>
      </c>
      <c r="H34" s="60">
        <f>G34*(1+$C$35)</f>
        <v>42868.75</v>
      </c>
      <c r="I34" s="61">
        <f>H34*(1+$C$35)</f>
        <v>40725.3125</v>
      </c>
      <c r="K34" s="13" t="s">
        <v>260</v>
      </c>
    </row>
    <row r="35" spans="1:11" ht="13" thickBot="1">
      <c r="B35" s="36" t="s">
        <v>147</v>
      </c>
      <c r="C35" s="94">
        <f>'START HERE - Summary Input Page'!D34</f>
        <v>-0.05</v>
      </c>
      <c r="D35" s="37"/>
      <c r="E35" s="37"/>
      <c r="F35" s="37"/>
      <c r="G35" s="37"/>
      <c r="H35" s="37"/>
      <c r="I35" s="38"/>
      <c r="K35" s="13" t="s">
        <v>261</v>
      </c>
    </row>
    <row r="36" spans="1:11">
      <c r="C36" s="97"/>
    </row>
    <row r="37" spans="1:11" ht="13" thickBot="1"/>
    <row r="38" spans="1:11">
      <c r="B38" s="55" t="s">
        <v>17</v>
      </c>
      <c r="C38" s="56"/>
      <c r="D38" s="56"/>
      <c r="E38" s="56"/>
      <c r="F38" s="56"/>
      <c r="G38" s="56"/>
      <c r="H38" s="56"/>
      <c r="I38" s="19"/>
    </row>
    <row r="39" spans="1:11">
      <c r="B39" s="22"/>
      <c r="C39" s="33"/>
      <c r="D39" s="33"/>
      <c r="E39" s="57" t="s">
        <v>7</v>
      </c>
      <c r="F39" s="58" t="s">
        <v>8</v>
      </c>
      <c r="G39" s="58" t="s">
        <v>9</v>
      </c>
      <c r="H39" s="58" t="s">
        <v>10</v>
      </c>
      <c r="I39" s="59" t="s">
        <v>11</v>
      </c>
    </row>
    <row r="40" spans="1:11">
      <c r="B40" s="22" t="s">
        <v>119</v>
      </c>
      <c r="C40" s="95">
        <f>'START HERE - Summary Input Page'!D36</f>
        <v>30000</v>
      </c>
      <c r="D40" s="33"/>
      <c r="E40" s="60">
        <f>C40</f>
        <v>30000</v>
      </c>
      <c r="F40" s="60"/>
      <c r="G40" s="33"/>
      <c r="H40" s="33"/>
      <c r="I40" s="21"/>
      <c r="K40" s="13" t="s">
        <v>260</v>
      </c>
    </row>
    <row r="41" spans="1:11">
      <c r="B41" s="22"/>
      <c r="C41" s="33"/>
      <c r="D41" s="33"/>
      <c r="E41" s="33"/>
      <c r="F41" s="33"/>
      <c r="G41" s="33"/>
      <c r="H41" s="33"/>
      <c r="I41" s="21"/>
    </row>
    <row r="42" spans="1:11">
      <c r="B42" s="22" t="s">
        <v>101</v>
      </c>
      <c r="C42" s="178">
        <v>75</v>
      </c>
      <c r="D42" s="33"/>
      <c r="E42" s="33"/>
      <c r="F42" s="33"/>
      <c r="G42" s="33"/>
      <c r="H42" s="33"/>
      <c r="I42" s="21"/>
      <c r="K42" s="13" t="s">
        <v>262</v>
      </c>
    </row>
    <row r="43" spans="1:11">
      <c r="B43" s="22" t="s">
        <v>148</v>
      </c>
      <c r="C43" s="177">
        <v>50</v>
      </c>
      <c r="D43" s="33"/>
      <c r="E43" s="33"/>
      <c r="F43" s="33"/>
      <c r="G43" s="33"/>
      <c r="H43" s="33"/>
      <c r="I43" s="21"/>
      <c r="K43" s="13" t="s">
        <v>263</v>
      </c>
    </row>
    <row r="44" spans="1:11" ht="13" thickBot="1">
      <c r="B44" s="36" t="s">
        <v>102</v>
      </c>
      <c r="C44" s="71"/>
      <c r="D44" s="37"/>
      <c r="E44" s="63">
        <f>$C$43*$C$42</f>
        <v>3750</v>
      </c>
      <c r="F44" s="63">
        <f t="shared" ref="F44:I44" si="5">$C$43*$C$42</f>
        <v>3750</v>
      </c>
      <c r="G44" s="63">
        <f t="shared" si="5"/>
        <v>3750</v>
      </c>
      <c r="H44" s="63">
        <f t="shared" si="5"/>
        <v>3750</v>
      </c>
      <c r="I44" s="26">
        <f t="shared" si="5"/>
        <v>3750</v>
      </c>
    </row>
    <row r="45" spans="1:11" ht="13" thickBot="1"/>
    <row r="46" spans="1:11">
      <c r="B46" s="55" t="s">
        <v>189</v>
      </c>
      <c r="C46" s="56"/>
      <c r="D46" s="56"/>
      <c r="E46" s="56"/>
      <c r="F46" s="56"/>
      <c r="G46" s="56"/>
      <c r="H46" s="56"/>
      <c r="I46" s="19"/>
    </row>
    <row r="47" spans="1:11">
      <c r="B47" s="22"/>
      <c r="C47" s="33"/>
      <c r="D47" s="33"/>
      <c r="E47" s="57" t="s">
        <v>7</v>
      </c>
      <c r="F47" s="58" t="s">
        <v>8</v>
      </c>
      <c r="G47" s="58" t="s">
        <v>9</v>
      </c>
      <c r="H47" s="58" t="s">
        <v>10</v>
      </c>
      <c r="I47" s="59" t="s">
        <v>11</v>
      </c>
    </row>
    <row r="48" spans="1:11" ht="13" thickBot="1">
      <c r="B48" s="36" t="s">
        <v>188</v>
      </c>
      <c r="C48" s="100">
        <f>'START HERE - Summary Input Page'!D38</f>
        <v>200</v>
      </c>
      <c r="D48" s="37"/>
      <c r="E48" s="72">
        <f>C48*'START HERE - Summary Input Page'!D46</f>
        <v>10000</v>
      </c>
      <c r="F48" s="73">
        <f>C48*'START HERE - Summary Input Page'!D48</f>
        <v>20000</v>
      </c>
      <c r="G48" s="73">
        <f>C48*'START HERE - Summary Input Page'!D50</f>
        <v>30000</v>
      </c>
      <c r="H48" s="73">
        <f>C48*'START HERE - Summary Input Page'!D52</f>
        <v>30000</v>
      </c>
      <c r="I48" s="74">
        <f>C48*'START HERE - Summary Input Page'!D54</f>
        <v>30000</v>
      </c>
      <c r="K48" s="13" t="s">
        <v>260</v>
      </c>
    </row>
    <row r="50" spans="2:11" ht="13" thickBot="1"/>
    <row r="51" spans="2:11">
      <c r="B51" s="18" t="s">
        <v>190</v>
      </c>
      <c r="C51" s="31"/>
      <c r="D51" s="56"/>
      <c r="E51" s="56"/>
      <c r="F51" s="56"/>
      <c r="G51" s="56"/>
      <c r="H51" s="56"/>
      <c r="I51" s="19"/>
    </row>
    <row r="52" spans="2:11">
      <c r="B52" s="22" t="str">
        <f>'START HERE - Summary Input Page'!C46</f>
        <v>Student Enrollment Year 1 (Total # Students)</v>
      </c>
      <c r="C52" s="99">
        <f>'START HERE - Summary Input Page'!D46</f>
        <v>50</v>
      </c>
      <c r="D52" s="33"/>
      <c r="E52" s="33"/>
      <c r="F52" s="33"/>
      <c r="G52" s="33"/>
      <c r="H52" s="33"/>
      <c r="I52" s="21"/>
      <c r="K52" s="13" t="s">
        <v>260</v>
      </c>
    </row>
    <row r="53" spans="2:11">
      <c r="B53" s="22" t="str">
        <f>'START HERE - Summary Input Page'!C48</f>
        <v>Student Enrollment Year 2 (Total # Students)</v>
      </c>
      <c r="C53" s="99">
        <f>'START HERE - Summary Input Page'!D48</f>
        <v>100</v>
      </c>
      <c r="D53" s="33"/>
      <c r="E53" s="33"/>
      <c r="F53" s="33"/>
      <c r="G53" s="33"/>
      <c r="H53" s="33"/>
      <c r="I53" s="21"/>
      <c r="K53" s="13" t="s">
        <v>260</v>
      </c>
    </row>
    <row r="54" spans="2:11">
      <c r="B54" s="22" t="str">
        <f>'START HERE - Summary Input Page'!C50</f>
        <v>Student Enrollment Year 3 (Total # Students)</v>
      </c>
      <c r="C54" s="99">
        <f>'START HERE - Summary Input Page'!D50</f>
        <v>150</v>
      </c>
      <c r="D54" s="33"/>
      <c r="E54" s="33"/>
      <c r="F54" s="33"/>
      <c r="G54" s="33"/>
      <c r="H54" s="33"/>
      <c r="I54" s="21"/>
      <c r="K54" s="13" t="s">
        <v>260</v>
      </c>
    </row>
    <row r="55" spans="2:11">
      <c r="B55" s="22" t="str">
        <f>'START HERE - Summary Input Page'!C52</f>
        <v>Student Enrollment Year 4 (Total # Students)</v>
      </c>
      <c r="C55" s="99">
        <f>'START HERE - Summary Input Page'!D52</f>
        <v>150</v>
      </c>
      <c r="D55" s="33"/>
      <c r="E55" s="33"/>
      <c r="F55" s="33"/>
      <c r="G55" s="33"/>
      <c r="H55" s="33"/>
      <c r="I55" s="21"/>
      <c r="K55" s="13" t="s">
        <v>260</v>
      </c>
    </row>
    <row r="56" spans="2:11">
      <c r="B56" s="22" t="str">
        <f>'START HERE - Summary Input Page'!C54</f>
        <v>Student Enrollment Year 5 (Total # Students)</v>
      </c>
      <c r="C56" s="99">
        <f>'START HERE - Summary Input Page'!D54</f>
        <v>150</v>
      </c>
      <c r="D56" s="33"/>
      <c r="E56" s="33"/>
      <c r="F56" s="33"/>
      <c r="G56" s="33"/>
      <c r="H56" s="33"/>
      <c r="I56" s="21"/>
      <c r="K56" s="13" t="s">
        <v>260</v>
      </c>
    </row>
    <row r="57" spans="2:11">
      <c r="B57" s="65"/>
      <c r="C57" s="48"/>
      <c r="D57" s="33"/>
      <c r="E57" s="33"/>
      <c r="F57" s="33"/>
      <c r="G57" s="33"/>
      <c r="H57" s="33"/>
      <c r="I57" s="21"/>
    </row>
    <row r="58" spans="2:11">
      <c r="B58" s="22" t="s">
        <v>106</v>
      </c>
      <c r="C58" s="178">
        <v>0</v>
      </c>
      <c r="D58" s="33"/>
      <c r="E58" s="33"/>
      <c r="F58" s="33"/>
      <c r="G58" s="33"/>
      <c r="H58" s="33"/>
      <c r="I58" s="21"/>
      <c r="K58" s="13" t="s">
        <v>264</v>
      </c>
    </row>
    <row r="59" spans="2:11">
      <c r="B59" s="82" t="s">
        <v>107</v>
      </c>
      <c r="C59" s="178">
        <v>75</v>
      </c>
      <c r="D59" s="33"/>
      <c r="E59" s="33"/>
      <c r="F59" s="33"/>
      <c r="G59" s="33"/>
      <c r="H59" s="33"/>
      <c r="I59" s="21"/>
      <c r="K59" s="13" t="s">
        <v>265</v>
      </c>
    </row>
    <row r="60" spans="2:11">
      <c r="B60" s="82" t="s">
        <v>108</v>
      </c>
      <c r="C60" s="178">
        <v>100</v>
      </c>
      <c r="D60" s="33"/>
      <c r="E60" s="33"/>
      <c r="F60" s="33"/>
      <c r="G60" s="33"/>
      <c r="H60" s="33"/>
      <c r="I60" s="21"/>
      <c r="K60" s="13" t="s">
        <v>265</v>
      </c>
    </row>
    <row r="61" spans="2:11">
      <c r="B61" s="20"/>
      <c r="C61" s="33"/>
      <c r="D61" s="33"/>
      <c r="E61" s="33"/>
      <c r="F61" s="33"/>
      <c r="G61" s="33"/>
      <c r="H61" s="33"/>
      <c r="I61" s="21"/>
    </row>
    <row r="62" spans="2:11">
      <c r="B62" s="22" t="s">
        <v>153</v>
      </c>
      <c r="C62" s="33"/>
      <c r="D62" s="33"/>
      <c r="E62" s="57" t="s">
        <v>7</v>
      </c>
      <c r="F62" s="58" t="s">
        <v>8</v>
      </c>
      <c r="G62" s="58" t="s">
        <v>9</v>
      </c>
      <c r="H62" s="58" t="s">
        <v>10</v>
      </c>
      <c r="I62" s="59" t="s">
        <v>11</v>
      </c>
    </row>
    <row r="63" spans="2:11">
      <c r="B63" s="22" t="s">
        <v>103</v>
      </c>
      <c r="C63" s="179">
        <v>10</v>
      </c>
      <c r="D63" s="33"/>
      <c r="E63" s="66">
        <f>C63*C58</f>
        <v>0</v>
      </c>
      <c r="F63" s="66">
        <f t="shared" ref="F63:I63" si="6">D63*D58</f>
        <v>0</v>
      </c>
      <c r="G63" s="66">
        <f t="shared" si="6"/>
        <v>0</v>
      </c>
      <c r="H63" s="66">
        <f t="shared" si="6"/>
        <v>0</v>
      </c>
      <c r="I63" s="67">
        <f t="shared" si="6"/>
        <v>0</v>
      </c>
      <c r="K63" s="13" t="s">
        <v>266</v>
      </c>
    </row>
    <row r="64" spans="2:11">
      <c r="B64" s="82" t="s">
        <v>104</v>
      </c>
      <c r="C64" s="179">
        <v>5</v>
      </c>
      <c r="D64" s="33"/>
      <c r="E64" s="66">
        <f>$C$64*$C$59*$C52</f>
        <v>18750</v>
      </c>
      <c r="F64" s="66">
        <f>$C$64*$C$59*C53</f>
        <v>37500</v>
      </c>
      <c r="G64" s="66">
        <f>$C$64*$C$59*C54</f>
        <v>56250</v>
      </c>
      <c r="H64" s="66">
        <f>$C$64*$C$59*C55</f>
        <v>56250</v>
      </c>
      <c r="I64" s="67">
        <f>$C$64*$C$59*C56</f>
        <v>56250</v>
      </c>
      <c r="K64" s="13" t="s">
        <v>266</v>
      </c>
    </row>
    <row r="65" spans="2:11">
      <c r="B65" s="82" t="s">
        <v>105</v>
      </c>
      <c r="C65" s="179">
        <v>2</v>
      </c>
      <c r="D65" s="33"/>
      <c r="E65" s="66">
        <f>C52*C60*C65</f>
        <v>10000</v>
      </c>
      <c r="F65" s="66">
        <f>C53*C60*C65</f>
        <v>20000</v>
      </c>
      <c r="G65" s="66">
        <f>C54*C60*C65</f>
        <v>30000</v>
      </c>
      <c r="H65" s="66">
        <f>C55*C60*C65</f>
        <v>30000</v>
      </c>
      <c r="I65" s="67">
        <f>C56*C60*C65</f>
        <v>30000</v>
      </c>
      <c r="K65" s="13" t="s">
        <v>266</v>
      </c>
    </row>
    <row r="66" spans="2:11">
      <c r="B66" s="20"/>
      <c r="C66" s="33"/>
      <c r="D66" s="33"/>
      <c r="E66" s="33"/>
      <c r="F66" s="33"/>
      <c r="G66" s="33"/>
      <c r="H66" s="33"/>
      <c r="I66" s="21"/>
    </row>
    <row r="67" spans="2:11" ht="13" thickBot="1">
      <c r="B67" s="36" t="s">
        <v>118</v>
      </c>
      <c r="C67" s="37"/>
      <c r="D67" s="37"/>
      <c r="E67" s="83">
        <f>SUM(E63:E65)</f>
        <v>28750</v>
      </c>
      <c r="F67" s="83">
        <f>SUM(F63:F65)</f>
        <v>57500</v>
      </c>
      <c r="G67" s="83">
        <f>SUM(G63:G65)</f>
        <v>86250</v>
      </c>
      <c r="H67" s="83">
        <f>SUM(H63:H65)</f>
        <v>86250</v>
      </c>
      <c r="I67" s="84">
        <f>SUM(I63:I65)</f>
        <v>86250</v>
      </c>
      <c r="K67" s="13" t="s">
        <v>267</v>
      </c>
    </row>
  </sheetData>
  <mergeCells count="1">
    <mergeCell ref="B6:H7"/>
  </mergeCells>
  <pageMargins left="0.7" right="0.7" top="0.75" bottom="0.75" header="0.3" footer="0.3"/>
  <pageSetup scale="65" orientation="portrait"/>
  <colBreaks count="1" manualBreakCount="1">
    <brk id="9" max="68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6"/>
  <sheetViews>
    <sheetView view="pageBreakPreview" zoomScaleSheetLayoutView="100" workbookViewId="0">
      <selection activeCell="H18" sqref="H18"/>
    </sheetView>
  </sheetViews>
  <sheetFormatPr baseColWidth="10" defaultColWidth="8.83203125" defaultRowHeight="12" x14ac:dyDescent="0"/>
  <cols>
    <col min="1" max="1" width="4.6640625" customWidth="1"/>
    <col min="2" max="2" width="29.33203125" customWidth="1"/>
    <col min="3" max="3" width="27.5" bestFit="1" customWidth="1"/>
    <col min="4" max="4" width="30.5" bestFit="1" customWidth="1"/>
    <col min="9" max="9" width="4.6640625" customWidth="1"/>
  </cols>
  <sheetData>
    <row r="2" spans="1:8" ht="17">
      <c r="B2" s="131" t="s">
        <v>174</v>
      </c>
      <c r="D2" s="13"/>
    </row>
    <row r="4" spans="1:8" ht="16" thickBot="1">
      <c r="B4" s="113" t="s">
        <v>196</v>
      </c>
      <c r="H4" s="114" t="s">
        <v>125</v>
      </c>
    </row>
    <row r="5" spans="1:8">
      <c r="B5" s="14"/>
    </row>
    <row r="6" spans="1:8" ht="15">
      <c r="B6" s="113" t="s">
        <v>200</v>
      </c>
    </row>
    <row r="7" spans="1:8">
      <c r="B7" s="14"/>
    </row>
    <row r="8" spans="1:8">
      <c r="A8" s="14" t="s">
        <v>175</v>
      </c>
      <c r="B8" s="13" t="s">
        <v>219</v>
      </c>
    </row>
    <row r="9" spans="1:8" ht="14.25" customHeight="1">
      <c r="B9" s="13"/>
    </row>
    <row r="10" spans="1:8">
      <c r="A10" s="14" t="s">
        <v>176</v>
      </c>
      <c r="B10" s="13" t="s">
        <v>201</v>
      </c>
    </row>
    <row r="11" spans="1:8">
      <c r="B11" s="13"/>
    </row>
    <row r="12" spans="1:8">
      <c r="A12" s="14" t="s">
        <v>177</v>
      </c>
      <c r="B12" s="13" t="s">
        <v>202</v>
      </c>
    </row>
    <row r="13" spans="1:8">
      <c r="B13" s="13"/>
    </row>
    <row r="14" spans="1:8">
      <c r="A14" s="14" t="s">
        <v>192</v>
      </c>
      <c r="B14" s="13" t="s">
        <v>268</v>
      </c>
    </row>
    <row r="15" spans="1:8">
      <c r="B15" s="13"/>
    </row>
    <row r="17" spans="2:8">
      <c r="B17" s="14" t="s">
        <v>111</v>
      </c>
      <c r="C17" s="14" t="s">
        <v>113</v>
      </c>
      <c r="D17" s="14" t="s">
        <v>114</v>
      </c>
    </row>
    <row r="18" spans="2:8">
      <c r="B18" s="136" t="s">
        <v>191</v>
      </c>
      <c r="C18" s="135">
        <v>3000</v>
      </c>
      <c r="D18" s="135">
        <v>0</v>
      </c>
      <c r="H18" s="13" t="s">
        <v>269</v>
      </c>
    </row>
    <row r="19" spans="2:8">
      <c r="B19" s="136" t="s">
        <v>112</v>
      </c>
      <c r="C19" s="135">
        <v>25000</v>
      </c>
      <c r="D19" s="135">
        <v>20000</v>
      </c>
      <c r="H19" s="13" t="s">
        <v>269</v>
      </c>
    </row>
    <row r="20" spans="2:8">
      <c r="B20" s="86"/>
    </row>
    <row r="21" spans="2:8">
      <c r="B21" s="86"/>
    </row>
    <row r="22" spans="2:8">
      <c r="B22" s="86"/>
    </row>
    <row r="23" spans="2:8">
      <c r="B23" s="86"/>
    </row>
    <row r="24" spans="2:8">
      <c r="B24" s="86"/>
    </row>
    <row r="25" spans="2:8">
      <c r="B25" s="86"/>
    </row>
    <row r="26" spans="2:8">
      <c r="B26" s="86"/>
    </row>
    <row r="27" spans="2:8">
      <c r="B27" s="86"/>
    </row>
    <row r="28" spans="2:8">
      <c r="B28" s="86"/>
    </row>
    <row r="29" spans="2:8">
      <c r="B29" s="86"/>
    </row>
    <row r="30" spans="2:8">
      <c r="B30" s="86"/>
    </row>
    <row r="31" spans="2:8">
      <c r="B31" s="86"/>
    </row>
    <row r="32" spans="2:8">
      <c r="B32" s="86"/>
    </row>
    <row r="33" spans="2:2">
      <c r="B33" s="86"/>
    </row>
    <row r="34" spans="2:2">
      <c r="B34" s="86"/>
    </row>
    <row r="35" spans="2:2">
      <c r="B35" s="86"/>
    </row>
    <row r="36" spans="2:2">
      <c r="B36" s="86"/>
    </row>
    <row r="37" spans="2:2">
      <c r="B37" s="86"/>
    </row>
    <row r="38" spans="2:2">
      <c r="B38" s="86"/>
    </row>
    <row r="39" spans="2:2">
      <c r="B39" s="86"/>
    </row>
    <row r="40" spans="2:2">
      <c r="B40" s="86"/>
    </row>
    <row r="41" spans="2:2">
      <c r="B41" s="86"/>
    </row>
    <row r="42" spans="2:2">
      <c r="B42" s="86"/>
    </row>
    <row r="43" spans="2:2">
      <c r="B43" s="86"/>
    </row>
    <row r="44" spans="2:2">
      <c r="B44" s="86"/>
    </row>
    <row r="45" spans="2:2">
      <c r="B45" s="86"/>
    </row>
    <row r="46" spans="2:2">
      <c r="B46" s="86"/>
    </row>
    <row r="47" spans="2:2">
      <c r="B47" s="86"/>
    </row>
    <row r="48" spans="2:2">
      <c r="B48" s="86"/>
    </row>
    <row r="49" spans="2:2">
      <c r="B49" s="86"/>
    </row>
    <row r="50" spans="2:2">
      <c r="B50" s="86"/>
    </row>
    <row r="51" spans="2:2">
      <c r="B51" s="86"/>
    </row>
    <row r="52" spans="2:2">
      <c r="B52" s="86"/>
    </row>
    <row r="53" spans="2:2">
      <c r="B53" s="86"/>
    </row>
    <row r="54" spans="2:2">
      <c r="B54" s="86"/>
    </row>
    <row r="55" spans="2:2">
      <c r="B55" s="86"/>
    </row>
    <row r="56" spans="2:2">
      <c r="B56" s="86"/>
    </row>
    <row r="57" spans="2:2">
      <c r="B57" s="86"/>
    </row>
    <row r="58" spans="2:2">
      <c r="B58" s="86"/>
    </row>
    <row r="59" spans="2:2">
      <c r="B59" s="86"/>
    </row>
    <row r="60" spans="2:2">
      <c r="B60" s="86"/>
    </row>
    <row r="61" spans="2:2">
      <c r="B61" s="86"/>
    </row>
    <row r="62" spans="2:2">
      <c r="B62" s="86"/>
    </row>
    <row r="63" spans="2:2">
      <c r="B63" s="86"/>
    </row>
    <row r="64" spans="2:2">
      <c r="B64" s="86"/>
    </row>
    <row r="65" spans="2:2">
      <c r="B65" s="86"/>
    </row>
    <row r="66" spans="2:2">
      <c r="B66" s="86"/>
    </row>
  </sheetData>
  <pageMargins left="0.7" right="0.7" top="0.75" bottom="0.75" header="0.3" footer="0.3"/>
  <pageSetup scale="68" orientation="portrait"/>
  <colBreaks count="1" manualBreakCount="1">
    <brk id="7" max="18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view="pageBreakPreview" zoomScaleSheetLayoutView="100" workbookViewId="0">
      <selection activeCell="J40" sqref="J40"/>
    </sheetView>
  </sheetViews>
  <sheetFormatPr baseColWidth="10" defaultColWidth="8.83203125" defaultRowHeight="12" x14ac:dyDescent="0"/>
  <cols>
    <col min="1" max="1" width="4.6640625" customWidth="1"/>
    <col min="2" max="2" width="43.6640625" bestFit="1" customWidth="1"/>
    <col min="3" max="3" width="11.33203125" bestFit="1" customWidth="1"/>
    <col min="4" max="4" width="12.5" customWidth="1"/>
    <col min="5" max="8" width="12.33203125" bestFit="1" customWidth="1"/>
    <col min="9" max="9" width="4.6640625" customWidth="1"/>
  </cols>
  <sheetData>
    <row r="2" spans="2:10" ht="17">
      <c r="B2" s="131" t="s">
        <v>179</v>
      </c>
    </row>
    <row r="3" spans="2:10" ht="14" thickBot="1">
      <c r="B3" s="33"/>
      <c r="C3" s="33"/>
      <c r="D3" s="33"/>
      <c r="E3" s="33"/>
      <c r="F3" s="33"/>
      <c r="G3" s="33"/>
      <c r="J3" s="114" t="s">
        <v>125</v>
      </c>
    </row>
    <row r="4" spans="2:10">
      <c r="B4" s="30" t="str">
        <f>'START HERE - Summary Input Page'!C46</f>
        <v>Student Enrollment Year 1 (Total # Students)</v>
      </c>
      <c r="C4" s="154">
        <f>'START HERE - Summary Input Page'!D46</f>
        <v>50</v>
      </c>
      <c r="D4" s="56"/>
      <c r="E4" s="56"/>
      <c r="F4" s="56"/>
      <c r="G4" s="56"/>
      <c r="H4" s="56"/>
      <c r="I4" s="19"/>
      <c r="J4" s="13" t="s">
        <v>260</v>
      </c>
    </row>
    <row r="5" spans="2:10">
      <c r="B5" s="22"/>
      <c r="C5" s="99"/>
      <c r="D5" s="33"/>
      <c r="E5" s="33"/>
      <c r="F5" s="33"/>
      <c r="G5" s="33"/>
      <c r="H5" s="33"/>
      <c r="I5" s="21"/>
    </row>
    <row r="6" spans="2:10">
      <c r="B6" s="22" t="str">
        <f>'START HERE - Summary Input Page'!C48</f>
        <v>Student Enrollment Year 2 (Total # Students)</v>
      </c>
      <c r="C6" s="99">
        <f>'START HERE - Summary Input Page'!D48</f>
        <v>100</v>
      </c>
      <c r="D6" s="33"/>
      <c r="E6" s="33"/>
      <c r="F6" s="33"/>
      <c r="G6" s="33"/>
      <c r="H6" s="33"/>
      <c r="I6" s="21"/>
      <c r="J6" s="13" t="s">
        <v>260</v>
      </c>
    </row>
    <row r="7" spans="2:10">
      <c r="B7" s="22"/>
      <c r="C7" s="99"/>
      <c r="D7" s="33"/>
      <c r="E7" s="33"/>
      <c r="F7" s="33"/>
      <c r="G7" s="33"/>
      <c r="H7" s="33"/>
      <c r="I7" s="21"/>
    </row>
    <row r="8" spans="2:10">
      <c r="B8" s="22" t="str">
        <f>'START HERE - Summary Input Page'!C50</f>
        <v>Student Enrollment Year 3 (Total # Students)</v>
      </c>
      <c r="C8" s="99">
        <f>'START HERE - Summary Input Page'!D50</f>
        <v>150</v>
      </c>
      <c r="D8" s="33"/>
      <c r="E8" s="33"/>
      <c r="F8" s="33"/>
      <c r="G8" s="33"/>
      <c r="H8" s="33"/>
      <c r="I8" s="21"/>
      <c r="J8" s="13" t="s">
        <v>260</v>
      </c>
    </row>
    <row r="9" spans="2:10">
      <c r="B9" s="22"/>
      <c r="C9" s="99"/>
      <c r="D9" s="33"/>
      <c r="E9" s="33"/>
      <c r="F9" s="33"/>
      <c r="G9" s="33"/>
      <c r="H9" s="33"/>
      <c r="I9" s="21"/>
    </row>
    <row r="10" spans="2:10">
      <c r="B10" s="22" t="str">
        <f>'START HERE - Summary Input Page'!C52</f>
        <v>Student Enrollment Year 4 (Total # Students)</v>
      </c>
      <c r="C10" s="99">
        <f>'START HERE - Summary Input Page'!D52</f>
        <v>150</v>
      </c>
      <c r="D10" s="33"/>
      <c r="E10" s="33"/>
      <c r="F10" s="33"/>
      <c r="G10" s="33"/>
      <c r="H10" s="33"/>
      <c r="I10" s="21"/>
      <c r="J10" s="13" t="s">
        <v>260</v>
      </c>
    </row>
    <row r="11" spans="2:10">
      <c r="B11" s="22"/>
      <c r="C11" s="99"/>
      <c r="D11" s="33"/>
      <c r="E11" s="33"/>
      <c r="F11" s="33"/>
      <c r="G11" s="33"/>
      <c r="H11" s="33"/>
      <c r="I11" s="21"/>
    </row>
    <row r="12" spans="2:10">
      <c r="B12" s="22" t="str">
        <f>'START HERE - Summary Input Page'!C54</f>
        <v>Student Enrollment Year 5 (Total # Students)</v>
      </c>
      <c r="C12" s="99">
        <f>'START HERE - Summary Input Page'!D54</f>
        <v>150</v>
      </c>
      <c r="D12" s="33"/>
      <c r="E12" s="33"/>
      <c r="F12" s="33"/>
      <c r="G12" s="33"/>
      <c r="H12" s="33"/>
      <c r="I12" s="21"/>
      <c r="J12" s="13" t="s">
        <v>260</v>
      </c>
    </row>
    <row r="13" spans="2:10">
      <c r="B13" s="20"/>
      <c r="C13" s="33"/>
      <c r="D13" s="33"/>
      <c r="E13" s="33"/>
      <c r="F13" s="33"/>
      <c r="G13" s="33"/>
      <c r="H13" s="33"/>
      <c r="I13" s="21"/>
    </row>
    <row r="14" spans="2:10">
      <c r="B14" s="22" t="s">
        <v>229</v>
      </c>
      <c r="C14" s="99">
        <f>'START HERE - Summary Input Page'!D40</f>
        <v>300</v>
      </c>
      <c r="D14" s="48"/>
      <c r="E14" s="33"/>
      <c r="F14" s="33"/>
      <c r="G14" s="33"/>
      <c r="H14" s="33"/>
      <c r="I14" s="21"/>
      <c r="J14" s="13" t="s">
        <v>260</v>
      </c>
    </row>
    <row r="15" spans="2:10">
      <c r="B15" s="20"/>
      <c r="C15" s="33"/>
      <c r="D15" s="33"/>
      <c r="E15" s="33"/>
      <c r="F15" s="33"/>
      <c r="G15" s="33"/>
      <c r="H15" s="33"/>
      <c r="I15" s="21"/>
    </row>
    <row r="16" spans="2:10">
      <c r="B16" s="22" t="s">
        <v>66</v>
      </c>
      <c r="C16" s="180">
        <v>0.5</v>
      </c>
      <c r="D16" s="33"/>
      <c r="E16" s="33"/>
      <c r="F16" s="33"/>
      <c r="G16" s="33"/>
      <c r="H16" s="33"/>
      <c r="I16" s="21"/>
      <c r="J16" s="13" t="s">
        <v>270</v>
      </c>
    </row>
    <row r="17" spans="2:10">
      <c r="B17" s="20"/>
      <c r="C17" s="33"/>
      <c r="D17" s="33"/>
      <c r="E17" s="33"/>
      <c r="F17" s="33"/>
      <c r="G17" s="33"/>
      <c r="H17" s="33"/>
      <c r="I17" s="21"/>
    </row>
    <row r="18" spans="2:10">
      <c r="B18" s="22" t="s">
        <v>203</v>
      </c>
      <c r="C18" s="180">
        <f>52*40</f>
        <v>2080</v>
      </c>
      <c r="D18" s="48" t="s">
        <v>235</v>
      </c>
      <c r="E18" s="33"/>
      <c r="F18" s="33"/>
      <c r="G18" s="33"/>
      <c r="H18" s="33"/>
      <c r="I18" s="21"/>
      <c r="J18" s="13" t="s">
        <v>271</v>
      </c>
    </row>
    <row r="19" spans="2:10">
      <c r="B19" s="20"/>
      <c r="C19" s="33"/>
      <c r="D19" s="33"/>
      <c r="E19" s="33"/>
      <c r="F19" s="33"/>
      <c r="G19" s="33"/>
      <c r="H19" s="33"/>
      <c r="I19" s="21"/>
    </row>
    <row r="20" spans="2:10">
      <c r="B20" s="22" t="s">
        <v>77</v>
      </c>
      <c r="C20" s="178">
        <f>40000</f>
        <v>40000</v>
      </c>
      <c r="D20" s="33"/>
      <c r="E20" s="33"/>
      <c r="F20" s="33"/>
      <c r="G20" s="33"/>
      <c r="H20" s="33"/>
      <c r="I20" s="21"/>
      <c r="J20" s="13" t="s">
        <v>272</v>
      </c>
    </row>
    <row r="21" spans="2:10">
      <c r="B21" s="20"/>
      <c r="C21" s="33"/>
      <c r="D21" s="33"/>
      <c r="E21" s="33"/>
      <c r="F21" s="33"/>
      <c r="G21" s="33"/>
      <c r="H21" s="33"/>
      <c r="I21" s="21"/>
    </row>
    <row r="22" spans="2:10">
      <c r="B22" s="22" t="s">
        <v>78</v>
      </c>
      <c r="C22" s="178">
        <v>60000</v>
      </c>
      <c r="D22" s="48"/>
      <c r="E22" s="33"/>
      <c r="F22" s="33"/>
      <c r="G22" s="33"/>
      <c r="H22" s="33"/>
      <c r="I22" s="21"/>
      <c r="J22" s="13" t="s">
        <v>273</v>
      </c>
    </row>
    <row r="23" spans="2:10">
      <c r="B23" s="22"/>
      <c r="C23" s="62"/>
      <c r="D23" s="33"/>
      <c r="E23" s="33"/>
      <c r="F23" s="33"/>
      <c r="G23" s="48"/>
      <c r="H23" s="33"/>
      <c r="I23" s="21"/>
    </row>
    <row r="24" spans="2:10">
      <c r="B24" s="22"/>
      <c r="C24" s="62"/>
      <c r="D24" s="57" t="s">
        <v>7</v>
      </c>
      <c r="E24" s="58" t="s">
        <v>8</v>
      </c>
      <c r="F24" s="58" t="s">
        <v>9</v>
      </c>
      <c r="G24" s="58" t="s">
        <v>10</v>
      </c>
      <c r="H24" s="58" t="s">
        <v>11</v>
      </c>
      <c r="I24" s="21"/>
    </row>
    <row r="25" spans="2:10" ht="13" thickBot="1">
      <c r="B25" s="36" t="s">
        <v>84</v>
      </c>
      <c r="C25" s="181">
        <f>'START HERE - Summary Input Page'!D29</f>
        <v>0.25750000000000001</v>
      </c>
      <c r="D25" s="92">
        <f>C25</f>
        <v>0.25750000000000001</v>
      </c>
      <c r="E25" s="92">
        <f>D25+'START HERE - Summary Input Page'!$D$30</f>
        <v>0.26</v>
      </c>
      <c r="F25" s="92">
        <f>E25+'START HERE - Summary Input Page'!$D$30</f>
        <v>0.26250000000000001</v>
      </c>
      <c r="G25" s="92">
        <f>F25+'START HERE - Summary Input Page'!$D$30</f>
        <v>0.26500000000000001</v>
      </c>
      <c r="H25" s="92">
        <f>G25+'START HERE - Summary Input Page'!$D$30</f>
        <v>0.26750000000000002</v>
      </c>
      <c r="I25" s="38"/>
      <c r="J25" s="13" t="s">
        <v>246</v>
      </c>
    </row>
    <row r="27" spans="2:10">
      <c r="B27" s="14" t="s">
        <v>79</v>
      </c>
      <c r="D27" s="51">
        <f>$C$14*$C$16</f>
        <v>150</v>
      </c>
      <c r="E27" s="51">
        <f>$C$14*$C$16</f>
        <v>150</v>
      </c>
      <c r="F27" s="51">
        <f>$C$14*$C$16</f>
        <v>150</v>
      </c>
      <c r="G27" s="51">
        <f>$C$14*$C$16</f>
        <v>150</v>
      </c>
      <c r="H27" s="51">
        <f>$C$14*$C$16</f>
        <v>150</v>
      </c>
      <c r="J27" s="13" t="s">
        <v>274</v>
      </c>
    </row>
    <row r="28" spans="2:10">
      <c r="B28" s="13" t="s">
        <v>81</v>
      </c>
      <c r="D28" s="53">
        <f>D27/$C$18</f>
        <v>7.2115384615384609E-2</v>
      </c>
      <c r="E28" s="53">
        <f>E27/$C$18</f>
        <v>7.2115384615384609E-2</v>
      </c>
      <c r="F28" s="53">
        <f>F27/$C$18</f>
        <v>7.2115384615384609E-2</v>
      </c>
      <c r="G28" s="53">
        <f>G27/$C$18</f>
        <v>7.2115384615384609E-2</v>
      </c>
      <c r="H28" s="53">
        <f>H27/$C$18</f>
        <v>7.2115384615384609E-2</v>
      </c>
      <c r="J28" s="13" t="s">
        <v>275</v>
      </c>
    </row>
    <row r="29" spans="2:10">
      <c r="B29" s="13" t="s">
        <v>82</v>
      </c>
      <c r="D29" s="52">
        <f>D28*$C$20</f>
        <v>2884.6153846153843</v>
      </c>
      <c r="E29" s="52">
        <f>E28*$C$20</f>
        <v>2884.6153846153843</v>
      </c>
      <c r="F29" s="52">
        <f>F28*$C$20</f>
        <v>2884.6153846153843</v>
      </c>
      <c r="G29" s="52">
        <f>G28*$C$20</f>
        <v>2884.6153846153843</v>
      </c>
      <c r="H29" s="52">
        <f>H28*$C$20</f>
        <v>2884.6153846153843</v>
      </c>
      <c r="J29" s="80" t="s">
        <v>276</v>
      </c>
    </row>
    <row r="30" spans="2:10">
      <c r="B30" s="13" t="s">
        <v>12</v>
      </c>
      <c r="D30" s="54">
        <f>D29*D25</f>
        <v>742.78846153846143</v>
      </c>
      <c r="E30" s="54">
        <f>E29*E25</f>
        <v>750</v>
      </c>
      <c r="F30" s="54">
        <f>F29*F25</f>
        <v>757.21153846153845</v>
      </c>
      <c r="G30" s="54">
        <f>G29*G25</f>
        <v>764.42307692307691</v>
      </c>
      <c r="H30" s="54">
        <f>H29*H25</f>
        <v>771.63461538461536</v>
      </c>
      <c r="J30" s="80" t="s">
        <v>277</v>
      </c>
    </row>
    <row r="31" spans="2:10">
      <c r="B31" s="13" t="s">
        <v>172</v>
      </c>
      <c r="D31" s="52">
        <f>SUM(D29:D30)</f>
        <v>3627.4038461538457</v>
      </c>
      <c r="E31" s="52">
        <f>SUM(E29:E30)</f>
        <v>3634.6153846153843</v>
      </c>
      <c r="F31" s="52">
        <f>SUM(F29:F30)</f>
        <v>3641.8269230769229</v>
      </c>
      <c r="G31" s="52">
        <f>SUM(G29:G30)</f>
        <v>3649.038461538461</v>
      </c>
      <c r="H31" s="52">
        <f>SUM(H29:H30)</f>
        <v>3656.2499999999995</v>
      </c>
      <c r="J31" s="80" t="s">
        <v>278</v>
      </c>
    </row>
    <row r="33" spans="2:10">
      <c r="B33" s="14" t="s">
        <v>80</v>
      </c>
      <c r="D33" s="51">
        <f>$C$14*$C$16</f>
        <v>150</v>
      </c>
      <c r="E33" s="51">
        <f>$C$14*$C$16</f>
        <v>150</v>
      </c>
      <c r="F33" s="51">
        <f>$C$14*$C$16</f>
        <v>150</v>
      </c>
      <c r="G33" s="51">
        <f>$C$14*$C$16</f>
        <v>150</v>
      </c>
      <c r="H33" s="51">
        <f>$C$14*$C$16</f>
        <v>150</v>
      </c>
      <c r="J33" s="13" t="s">
        <v>279</v>
      </c>
    </row>
    <row r="34" spans="2:10">
      <c r="B34" s="13" t="s">
        <v>81</v>
      </c>
      <c r="D34" s="53">
        <f>D33/$C$18</f>
        <v>7.2115384615384609E-2</v>
      </c>
      <c r="E34" s="53">
        <f>E33/$C$18</f>
        <v>7.2115384615384609E-2</v>
      </c>
      <c r="F34" s="53">
        <f>F33/$C$18</f>
        <v>7.2115384615384609E-2</v>
      </c>
      <c r="G34" s="53">
        <f>G33/$C$18</f>
        <v>7.2115384615384609E-2</v>
      </c>
      <c r="H34" s="53">
        <f>H33/$C$18</f>
        <v>7.2115384615384609E-2</v>
      </c>
      <c r="J34" s="13" t="s">
        <v>280</v>
      </c>
    </row>
    <row r="35" spans="2:10">
      <c r="B35" s="13" t="s">
        <v>82</v>
      </c>
      <c r="D35" s="52">
        <f>D34*$C$22</f>
        <v>4326.9230769230762</v>
      </c>
      <c r="E35" s="52">
        <f>E34*$C$22</f>
        <v>4326.9230769230762</v>
      </c>
      <c r="F35" s="52">
        <f>F34*$C$22</f>
        <v>4326.9230769230762</v>
      </c>
      <c r="G35" s="52">
        <f>G34*$C$22</f>
        <v>4326.9230769230762</v>
      </c>
      <c r="H35" s="52">
        <f>H34*$C$22</f>
        <v>4326.9230769230762</v>
      </c>
      <c r="J35" s="80" t="s">
        <v>281</v>
      </c>
    </row>
    <row r="36" spans="2:10">
      <c r="B36" s="13" t="s">
        <v>12</v>
      </c>
      <c r="D36" s="54">
        <f>D35*D25</f>
        <v>1114.1826923076922</v>
      </c>
      <c r="E36" s="54">
        <f>E35*E25</f>
        <v>1124.9999999999998</v>
      </c>
      <c r="F36" s="54">
        <f>F35*F25</f>
        <v>1135.8173076923076</v>
      </c>
      <c r="G36" s="54">
        <f>G35*G25</f>
        <v>1146.6346153846152</v>
      </c>
      <c r="H36" s="54">
        <f>H35*H25</f>
        <v>1157.4519230769229</v>
      </c>
      <c r="J36" s="80" t="s">
        <v>277</v>
      </c>
    </row>
    <row r="37" spans="2:10">
      <c r="B37" s="13" t="s">
        <v>171</v>
      </c>
      <c r="D37" s="52">
        <f>SUM(D35:D36)</f>
        <v>5441.1057692307686</v>
      </c>
      <c r="E37" s="52">
        <f>SUM(E35:E36)</f>
        <v>5451.9230769230762</v>
      </c>
      <c r="F37" s="52">
        <f>SUM(F35:F36)</f>
        <v>5462.7403846153838</v>
      </c>
      <c r="G37" s="52">
        <f>SUM(G35:G36)</f>
        <v>5473.5576923076915</v>
      </c>
      <c r="H37" s="52">
        <f>SUM(H35:H36)</f>
        <v>5484.3749999999991</v>
      </c>
      <c r="J37" s="13" t="s">
        <v>282</v>
      </c>
    </row>
    <row r="39" spans="2:10">
      <c r="B39" s="14" t="s">
        <v>173</v>
      </c>
      <c r="D39" s="134">
        <f>D37+D31</f>
        <v>9068.5096153846134</v>
      </c>
      <c r="E39" s="134">
        <f t="shared" ref="E39:H39" si="0">E37+E31</f>
        <v>9086.538461538461</v>
      </c>
      <c r="F39" s="134">
        <f t="shared" si="0"/>
        <v>9104.5673076923067</v>
      </c>
      <c r="G39" s="134">
        <f t="shared" si="0"/>
        <v>9122.5961538461524</v>
      </c>
      <c r="H39" s="134">
        <f t="shared" si="0"/>
        <v>9140.6249999999982</v>
      </c>
      <c r="J39" s="13" t="s">
        <v>283</v>
      </c>
    </row>
  </sheetData>
  <pageMargins left="0.7" right="0.7" top="0.75" bottom="0.75" header="0.3" footer="0.3"/>
  <pageSetup scale="6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view="pageBreakPreview" zoomScaleSheetLayoutView="100" workbookViewId="0">
      <selection activeCell="I32" sqref="I32"/>
    </sheetView>
  </sheetViews>
  <sheetFormatPr baseColWidth="10" defaultColWidth="8.83203125" defaultRowHeight="12" x14ac:dyDescent="0"/>
  <cols>
    <col min="1" max="1" width="4.6640625" customWidth="1"/>
    <col min="2" max="2" width="37.83203125" customWidth="1"/>
    <col min="3" max="3" width="9.33203125" customWidth="1"/>
    <col min="4" max="4" width="14" bestFit="1" customWidth="1"/>
    <col min="5" max="8" width="14.1640625" bestFit="1" customWidth="1"/>
    <col min="9" max="9" width="4.6640625" customWidth="1"/>
  </cols>
  <sheetData>
    <row r="2" spans="2:9" ht="17">
      <c r="B2" s="131" t="s">
        <v>170</v>
      </c>
    </row>
    <row r="3" spans="2:9">
      <c r="B3" s="13"/>
      <c r="C3" s="13"/>
    </row>
    <row r="4" spans="2:9">
      <c r="B4" s="13" t="s">
        <v>193</v>
      </c>
      <c r="C4" s="13"/>
    </row>
    <row r="5" spans="2:9">
      <c r="B5" s="13" t="s">
        <v>194</v>
      </c>
      <c r="C5" s="13"/>
    </row>
    <row r="6" spans="2:9" ht="14" thickBot="1">
      <c r="B6" s="13"/>
      <c r="C6" s="13"/>
      <c r="I6" s="114" t="s">
        <v>125</v>
      </c>
    </row>
    <row r="7" spans="2:9">
      <c r="B7" s="48" t="s">
        <v>180</v>
      </c>
      <c r="C7" s="150">
        <f>'START HERE - Summary Input Page'!D56</f>
        <v>20000</v>
      </c>
      <c r="I7" s="13" t="s">
        <v>260</v>
      </c>
    </row>
    <row r="8" spans="2:9">
      <c r="B8" s="48" t="s">
        <v>184</v>
      </c>
      <c r="C8" s="137">
        <f>'START HERE - Summary Input Page'!D57</f>
        <v>0.03</v>
      </c>
      <c r="I8" s="13" t="s">
        <v>260</v>
      </c>
    </row>
    <row r="9" spans="2:9">
      <c r="B9" s="48"/>
      <c r="C9" s="137"/>
    </row>
    <row r="10" spans="2:9">
      <c r="B10" s="48" t="s">
        <v>215</v>
      </c>
      <c r="C10" s="150">
        <f>'START HERE - Summary Input Page'!$D$59</f>
        <v>75</v>
      </c>
      <c r="I10" s="13" t="s">
        <v>260</v>
      </c>
    </row>
    <row r="11" spans="2:9">
      <c r="B11" s="48" t="s">
        <v>229</v>
      </c>
      <c r="C11" s="153">
        <f>'START HERE - Summary Input Page'!$D$40</f>
        <v>300</v>
      </c>
      <c r="I11" s="13" t="s">
        <v>260</v>
      </c>
    </row>
    <row r="13" spans="2:9">
      <c r="B13" s="48" t="s">
        <v>181</v>
      </c>
      <c r="C13" s="150">
        <f>'START HERE - Summary Input Page'!D61</f>
        <v>200</v>
      </c>
      <c r="I13" s="13" t="s">
        <v>260</v>
      </c>
    </row>
    <row r="14" spans="2:9">
      <c r="B14" s="48" t="s">
        <v>185</v>
      </c>
      <c r="C14" s="119">
        <f>'START HERE - Summary Input Page'!D62</f>
        <v>0.01</v>
      </c>
      <c r="I14" s="13" t="s">
        <v>260</v>
      </c>
    </row>
    <row r="15" spans="2:9">
      <c r="B15" s="48"/>
      <c r="C15" s="119"/>
    </row>
    <row r="16" spans="2:9" ht="12" customHeight="1">
      <c r="B16" s="48" t="s">
        <v>183</v>
      </c>
      <c r="C16" s="119">
        <f>'START HERE - Summary Input Page'!$D$44</f>
        <v>0.3</v>
      </c>
      <c r="I16" s="13" t="s">
        <v>260</v>
      </c>
    </row>
    <row r="17" spans="2:9" ht="12" customHeight="1">
      <c r="B17" s="48"/>
      <c r="C17" s="119"/>
    </row>
    <row r="18" spans="2:9">
      <c r="C18" s="140"/>
    </row>
    <row r="19" spans="2:9">
      <c r="C19" s="140"/>
      <c r="D19" s="11" t="s">
        <v>7</v>
      </c>
      <c r="E19" s="12" t="s">
        <v>8</v>
      </c>
      <c r="F19" s="12" t="s">
        <v>9</v>
      </c>
      <c r="G19" s="12" t="s">
        <v>10</v>
      </c>
      <c r="H19" s="12" t="s">
        <v>11</v>
      </c>
    </row>
    <row r="20" spans="2:9">
      <c r="B20" s="138" t="s">
        <v>51</v>
      </c>
      <c r="C20" s="138"/>
      <c r="D20">
        <f>'START HERE - Summary Input Page'!D46</f>
        <v>50</v>
      </c>
      <c r="E20">
        <f>'START HERE - Summary Input Page'!D48</f>
        <v>100</v>
      </c>
      <c r="F20">
        <f>'START HERE - Summary Input Page'!D50</f>
        <v>150</v>
      </c>
      <c r="G20">
        <f>'START HERE - Summary Input Page'!D52</f>
        <v>150</v>
      </c>
      <c r="H20">
        <f>'START HERE - Summary Input Page'!D54</f>
        <v>150</v>
      </c>
      <c r="I20" s="13" t="s">
        <v>260</v>
      </c>
    </row>
    <row r="21" spans="2:9">
      <c r="B21" s="139" t="s">
        <v>4</v>
      </c>
      <c r="C21" s="139"/>
      <c r="D21" s="45">
        <f>'START HERE - Summary Input Page'!$D$56</f>
        <v>20000</v>
      </c>
      <c r="E21" s="45">
        <f>D21*(1+$C$8)</f>
        <v>20600</v>
      </c>
      <c r="F21" s="45">
        <f>E21*(1+$C$8)</f>
        <v>21218</v>
      </c>
      <c r="G21" s="45">
        <f>F21*(1+$C$8)</f>
        <v>21854.54</v>
      </c>
      <c r="H21" s="45">
        <f>G21*(1+$C$8)</f>
        <v>22510.176200000002</v>
      </c>
      <c r="I21" s="13" t="s">
        <v>284</v>
      </c>
    </row>
    <row r="22" spans="2:9">
      <c r="B22" s="139" t="s">
        <v>53</v>
      </c>
      <c r="C22" s="139"/>
      <c r="D22" s="42">
        <f>D21*D20</f>
        <v>1000000</v>
      </c>
      <c r="E22" s="42">
        <f>E21*E20</f>
        <v>2060000</v>
      </c>
      <c r="F22" s="42">
        <f>F21*F20</f>
        <v>3182700</v>
      </c>
      <c r="G22" s="42">
        <f>G21*G20</f>
        <v>3278181</v>
      </c>
      <c r="H22" s="42">
        <f>H21*H20</f>
        <v>3376526.43</v>
      </c>
      <c r="I22" s="13" t="s">
        <v>285</v>
      </c>
    </row>
    <row r="23" spans="2:9">
      <c r="B23" s="139"/>
      <c r="C23" s="139"/>
      <c r="D23" s="42"/>
      <c r="E23" s="42"/>
      <c r="F23" s="42"/>
      <c r="G23" s="42"/>
      <c r="H23" s="42"/>
    </row>
    <row r="24" spans="2:9">
      <c r="B24" s="48" t="s">
        <v>229</v>
      </c>
      <c r="C24" s="138"/>
      <c r="D24" s="182">
        <f>'START HERE - Summary Input Page'!$D$40</f>
        <v>300</v>
      </c>
      <c r="E24" s="182">
        <f>'START HERE - Summary Input Page'!$D$40</f>
        <v>300</v>
      </c>
      <c r="F24" s="182">
        <f>'START HERE - Summary Input Page'!$D$40</f>
        <v>300</v>
      </c>
      <c r="G24" s="182">
        <f>'START HERE - Summary Input Page'!$D$40</f>
        <v>300</v>
      </c>
      <c r="H24" s="182">
        <f>'START HERE - Summary Input Page'!$D$40</f>
        <v>300</v>
      </c>
      <c r="I24" s="13" t="s">
        <v>260</v>
      </c>
    </row>
    <row r="25" spans="2:9">
      <c r="B25" s="48" t="s">
        <v>215</v>
      </c>
      <c r="C25" s="139"/>
      <c r="D25" s="156">
        <f>'START HERE - Summary Input Page'!$D$59</f>
        <v>75</v>
      </c>
      <c r="E25" s="156">
        <f>'START HERE - Summary Input Page'!$D$59</f>
        <v>75</v>
      </c>
      <c r="F25" s="156">
        <f>'START HERE - Summary Input Page'!$D$59</f>
        <v>75</v>
      </c>
      <c r="G25" s="156">
        <f>'START HERE - Summary Input Page'!$D$59</f>
        <v>75</v>
      </c>
      <c r="H25" s="156">
        <f>'START HERE - Summary Input Page'!$D$59</f>
        <v>75</v>
      </c>
      <c r="I25" s="13" t="s">
        <v>260</v>
      </c>
    </row>
    <row r="26" spans="2:9">
      <c r="B26" s="139" t="s">
        <v>216</v>
      </c>
      <c r="C26" s="139"/>
      <c r="D26" s="42">
        <f>D25*D24</f>
        <v>22500</v>
      </c>
      <c r="E26" s="42">
        <f>E25*E24</f>
        <v>22500</v>
      </c>
      <c r="F26" s="42">
        <f>F25*F24</f>
        <v>22500</v>
      </c>
      <c r="G26" s="42">
        <f>G25*G24</f>
        <v>22500</v>
      </c>
      <c r="H26" s="42">
        <f>H25*H24</f>
        <v>22500</v>
      </c>
      <c r="I26" s="13" t="s">
        <v>286</v>
      </c>
    </row>
    <row r="27" spans="2:9">
      <c r="B27" s="140"/>
      <c r="C27" s="140"/>
    </row>
    <row r="28" spans="2:9">
      <c r="B28" s="48" t="s">
        <v>233</v>
      </c>
      <c r="C28" s="138"/>
      <c r="D28" s="44">
        <f>'START HERE - Summary Input Page'!$D$61</f>
        <v>200</v>
      </c>
      <c r="E28" s="44">
        <f>D28*(1+$C$14)</f>
        <v>202</v>
      </c>
      <c r="F28" s="44">
        <f>E28*(1+$C$14)</f>
        <v>204.02</v>
      </c>
      <c r="G28" s="44">
        <f>F28*(1+$C$14)</f>
        <v>206.06020000000001</v>
      </c>
      <c r="H28" s="44">
        <f>G28*(1+$C$14)</f>
        <v>208.120802</v>
      </c>
      <c r="I28" s="13" t="s">
        <v>287</v>
      </c>
    </row>
    <row r="29" spans="2:9">
      <c r="B29" s="139" t="s">
        <v>54</v>
      </c>
      <c r="C29" s="139"/>
      <c r="D29" s="41">
        <f>D28*D20</f>
        <v>10000</v>
      </c>
      <c r="E29" s="41">
        <f>E28*E20</f>
        <v>20200</v>
      </c>
      <c r="F29" s="41">
        <f>F28*F20</f>
        <v>30603</v>
      </c>
      <c r="G29" s="41">
        <f>G28*G20</f>
        <v>30909.030000000002</v>
      </c>
      <c r="H29" s="41">
        <f>H28*H20</f>
        <v>31218.120299999999</v>
      </c>
      <c r="I29" s="13" t="s">
        <v>288</v>
      </c>
    </row>
    <row r="30" spans="2:9">
      <c r="B30" s="139"/>
      <c r="C30" s="139"/>
      <c r="D30" s="41"/>
      <c r="E30" s="41"/>
      <c r="F30" s="41"/>
      <c r="G30" s="41"/>
      <c r="H30" s="41"/>
    </row>
    <row r="31" spans="2:9" ht="13" thickBot="1">
      <c r="B31" s="139" t="s">
        <v>183</v>
      </c>
      <c r="C31" s="141">
        <f>'START HERE - Summary Input Page'!$D$44</f>
        <v>0.3</v>
      </c>
      <c r="D31" s="151">
        <f>D22*$C$31*-1</f>
        <v>-300000</v>
      </c>
      <c r="E31" s="151">
        <f>E22*$C$31*-1</f>
        <v>-618000</v>
      </c>
      <c r="F31" s="151">
        <f>F22*$C$31*-1</f>
        <v>-954810</v>
      </c>
      <c r="G31" s="151">
        <f>G22*$C$31*-1</f>
        <v>-983454.29999999993</v>
      </c>
      <c r="H31" s="151">
        <f>H22*$C$31*-1</f>
        <v>-1012957.929</v>
      </c>
      <c r="I31" s="13" t="s">
        <v>289</v>
      </c>
    </row>
    <row r="32" spans="2:9" ht="13" thickTop="1">
      <c r="B32" s="140"/>
    </row>
    <row r="33" spans="2:8">
      <c r="B33" s="14" t="s">
        <v>55</v>
      </c>
      <c r="C33" s="13"/>
      <c r="D33" s="43">
        <f>D29+D22+D26+D31</f>
        <v>732500</v>
      </c>
      <c r="E33" s="43">
        <f>E29+E22+E26+E31</f>
        <v>1484700</v>
      </c>
      <c r="F33" s="43">
        <f>F29+F22+F26+F31</f>
        <v>2280993</v>
      </c>
      <c r="G33" s="43">
        <f>G29+G22+G26+G31</f>
        <v>2348135.73</v>
      </c>
      <c r="H33" s="43">
        <f>H29+H22+H26+H31</f>
        <v>2417286.6213000002</v>
      </c>
    </row>
  </sheetData>
  <pageMargins left="0.7" right="0.7" top="0.75" bottom="0.75" header="0.3" footer="0.3"/>
  <pageSetup scale="74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3" enableFormatConditionsCalculation="0">
    <pageSetUpPr autoPageBreaks="0" fitToPage="1"/>
  </sheetPr>
  <dimension ref="A3:I49"/>
  <sheetViews>
    <sheetView view="pageBreakPreview" zoomScale="85" zoomScaleSheetLayoutView="85" workbookViewId="0">
      <selection activeCell="A47" sqref="A47:G48"/>
    </sheetView>
  </sheetViews>
  <sheetFormatPr baseColWidth="10" defaultColWidth="8.83203125" defaultRowHeight="12" x14ac:dyDescent="0"/>
  <cols>
    <col min="1" max="1" width="23.1640625" style="1" customWidth="1"/>
    <col min="2" max="2" width="45" style="1" customWidth="1"/>
    <col min="3" max="3" width="15" style="1" bestFit="1" customWidth="1"/>
    <col min="4" max="7" width="15.5" style="1" customWidth="1"/>
    <col min="8" max="16384" width="8.83203125" style="1"/>
  </cols>
  <sheetData>
    <row r="3" spans="1:8" ht="18" customHeight="1">
      <c r="A3" s="194" t="s">
        <v>16</v>
      </c>
      <c r="B3" s="194"/>
      <c r="C3" s="194"/>
      <c r="D3" s="194"/>
      <c r="E3" s="194"/>
      <c r="F3" s="194"/>
      <c r="G3" s="194"/>
    </row>
    <row r="4" spans="1:8" ht="14" thickBot="1">
      <c r="A4" s="195" t="s">
        <v>204</v>
      </c>
      <c r="B4" s="195"/>
      <c r="C4" s="195"/>
      <c r="D4" s="195"/>
      <c r="E4" s="195"/>
      <c r="F4" s="195"/>
      <c r="G4" s="195"/>
      <c r="H4" s="184" t="s">
        <v>125</v>
      </c>
    </row>
    <row r="5" spans="1:8">
      <c r="A5" s="3" t="s">
        <v>0</v>
      </c>
      <c r="B5" s="4"/>
      <c r="C5" s="11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87"/>
    </row>
    <row r="6" spans="1:8">
      <c r="A6" s="10" t="s">
        <v>4</v>
      </c>
      <c r="B6" s="2"/>
      <c r="C6" s="17">
        <f>'Revenue Estimation'!D22</f>
        <v>1000000</v>
      </c>
      <c r="D6" s="17">
        <f>'Revenue Estimation'!E22</f>
        <v>2060000</v>
      </c>
      <c r="E6" s="17">
        <f>'Revenue Estimation'!F22</f>
        <v>3182700</v>
      </c>
      <c r="F6" s="17">
        <f>'Revenue Estimation'!G22</f>
        <v>3278181</v>
      </c>
      <c r="G6" s="17">
        <f>'Revenue Estimation'!H22</f>
        <v>3376526.43</v>
      </c>
      <c r="H6" s="87" t="s">
        <v>290</v>
      </c>
    </row>
    <row r="7" spans="1:8">
      <c r="A7" s="139" t="s">
        <v>215</v>
      </c>
      <c r="B7" s="2"/>
      <c r="C7" s="17">
        <f>'Revenue Estimation'!D26</f>
        <v>22500</v>
      </c>
      <c r="D7" s="17">
        <f>'Revenue Estimation'!E26</f>
        <v>22500</v>
      </c>
      <c r="E7" s="17">
        <f>'Revenue Estimation'!F26</f>
        <v>22500</v>
      </c>
      <c r="F7" s="17">
        <f>'Revenue Estimation'!G26</f>
        <v>22500</v>
      </c>
      <c r="G7" s="17">
        <f>'Revenue Estimation'!H26</f>
        <v>22500</v>
      </c>
      <c r="H7" s="87" t="s">
        <v>290</v>
      </c>
    </row>
    <row r="8" spans="1:8">
      <c r="A8" s="10" t="s">
        <v>5</v>
      </c>
      <c r="B8" s="10"/>
      <c r="C8" s="118">
        <f>'Revenue Estimation'!D29</f>
        <v>10000</v>
      </c>
      <c r="D8" s="118">
        <f>'Revenue Estimation'!E29</f>
        <v>20200</v>
      </c>
      <c r="E8" s="118">
        <f>'Revenue Estimation'!F29</f>
        <v>30603</v>
      </c>
      <c r="F8" s="118">
        <f>'Revenue Estimation'!G29</f>
        <v>30909.030000000002</v>
      </c>
      <c r="G8" s="118">
        <f>'Revenue Estimation'!H29</f>
        <v>31218.120299999999</v>
      </c>
      <c r="H8" s="87" t="s">
        <v>290</v>
      </c>
    </row>
    <row r="9" spans="1:8">
      <c r="A9" s="10" t="s">
        <v>183</v>
      </c>
      <c r="B9" s="10"/>
      <c r="C9" s="120">
        <f>'Revenue Estimation'!D31</f>
        <v>-300000</v>
      </c>
      <c r="D9" s="120">
        <f>'Revenue Estimation'!E31</f>
        <v>-618000</v>
      </c>
      <c r="E9" s="120">
        <f>'Revenue Estimation'!F31</f>
        <v>-954810</v>
      </c>
      <c r="F9" s="120">
        <f>'Revenue Estimation'!G31</f>
        <v>-983454.29999999993</v>
      </c>
      <c r="G9" s="120">
        <f>'Revenue Estimation'!H31</f>
        <v>-1012957.929</v>
      </c>
      <c r="H9" s="87" t="s">
        <v>290</v>
      </c>
    </row>
    <row r="10" spans="1:8">
      <c r="A10" s="103" t="s">
        <v>6</v>
      </c>
      <c r="B10" s="4"/>
      <c r="C10" s="155">
        <f>SUM(C6:C9)</f>
        <v>732500</v>
      </c>
      <c r="D10" s="155">
        <f>SUM(D6:D9)</f>
        <v>1484700</v>
      </c>
      <c r="E10" s="155">
        <f>SUM(E6:E9)</f>
        <v>2280993</v>
      </c>
      <c r="F10" s="155">
        <f>SUM(F6:F9)</f>
        <v>2348135.73</v>
      </c>
      <c r="G10" s="155">
        <f>SUM(G6:G9)</f>
        <v>2417286.6213000002</v>
      </c>
      <c r="H10" s="87" t="s">
        <v>291</v>
      </c>
    </row>
    <row r="11" spans="1:8">
      <c r="A11" s="2"/>
      <c r="B11" s="2"/>
      <c r="C11" s="2"/>
      <c r="D11" s="2"/>
      <c r="E11" s="2"/>
      <c r="F11" s="2"/>
      <c r="G11" s="2"/>
      <c r="H11" s="87"/>
    </row>
    <row r="12" spans="1:8">
      <c r="A12" s="3" t="s">
        <v>168</v>
      </c>
      <c r="B12" s="4"/>
      <c r="C12" s="4"/>
      <c r="D12" s="4"/>
      <c r="E12" s="4"/>
      <c r="F12" s="4"/>
      <c r="G12" s="4"/>
      <c r="H12" s="87"/>
    </row>
    <row r="13" spans="1:8">
      <c r="A13" s="10" t="s">
        <v>20</v>
      </c>
      <c r="B13" s="2"/>
      <c r="C13" s="5"/>
      <c r="D13" s="5"/>
      <c r="E13" s="5"/>
      <c r="F13" s="5"/>
      <c r="G13" s="5"/>
      <c r="H13" s="87"/>
    </row>
    <row r="14" spans="1:8">
      <c r="A14" s="10"/>
      <c r="B14" s="10" t="s">
        <v>18</v>
      </c>
      <c r="C14" s="5">
        <f>'Salary Expense'!D33</f>
        <v>240000</v>
      </c>
      <c r="D14" s="5">
        <f>'Salary Expense'!E33</f>
        <v>370800</v>
      </c>
      <c r="E14" s="5">
        <f>'Salary Expense'!F33</f>
        <v>381924</v>
      </c>
      <c r="F14" s="5">
        <f>'Salary Expense'!G33</f>
        <v>393381.72</v>
      </c>
      <c r="G14" s="5">
        <f>'Salary Expense'!H33</f>
        <v>405183.17159999994</v>
      </c>
      <c r="H14" s="87" t="s">
        <v>292</v>
      </c>
    </row>
    <row r="15" spans="1:8">
      <c r="A15" s="10"/>
      <c r="B15" s="10" t="s">
        <v>19</v>
      </c>
      <c r="C15" s="105">
        <f>'Salary Expense'!D34</f>
        <v>150000</v>
      </c>
      <c r="D15" s="105">
        <f>'Salary Expense'!E34</f>
        <v>154500</v>
      </c>
      <c r="E15" s="105">
        <f>'Salary Expense'!F34</f>
        <v>159135</v>
      </c>
      <c r="F15" s="105">
        <f>'Salary Expense'!G34</f>
        <v>163909.04999999999</v>
      </c>
      <c r="G15" s="105">
        <f>'Salary Expense'!H34</f>
        <v>168826.32149999999</v>
      </c>
      <c r="H15" s="87" t="s">
        <v>292</v>
      </c>
    </row>
    <row r="16" spans="1:8">
      <c r="A16" s="10"/>
      <c r="B16" s="10" t="s">
        <v>22</v>
      </c>
      <c r="C16" s="5">
        <f>'Salary Expense'!D35+'Salary Expense'!D36</f>
        <v>155000</v>
      </c>
      <c r="D16" s="5">
        <f>'Salary Expense'!E35+'Salary Expense'!E36</f>
        <v>211150</v>
      </c>
      <c r="E16" s="5">
        <f>'Salary Expense'!F35+'Salary Expense'!F36</f>
        <v>217484.5</v>
      </c>
      <c r="F16" s="5">
        <f>'Salary Expense'!G35+'Salary Expense'!G36</f>
        <v>224009.035</v>
      </c>
      <c r="G16" s="5">
        <f>'Salary Expense'!H35+'Salary Expense'!H36</f>
        <v>230729.30605000001</v>
      </c>
      <c r="H16" s="87" t="s">
        <v>292</v>
      </c>
    </row>
    <row r="17" spans="1:9">
      <c r="A17" s="10" t="s">
        <v>155</v>
      </c>
      <c r="B17" s="2"/>
      <c r="C17" s="8">
        <f>'Salary Expense'!D38</f>
        <v>140337.5</v>
      </c>
      <c r="D17" s="8">
        <f>'Salary Expense'!E38</f>
        <v>191477</v>
      </c>
      <c r="E17" s="8">
        <f>'Salary Expense'!F38</f>
        <v>199117.66875000001</v>
      </c>
      <c r="F17" s="8">
        <f>'Salary Expense'!G38</f>
        <v>207044.44832500003</v>
      </c>
      <c r="G17" s="8">
        <f>'Salary Expense'!H38</f>
        <v>215267.62877262497</v>
      </c>
      <c r="H17" s="87" t="s">
        <v>292</v>
      </c>
    </row>
    <row r="18" spans="1:9">
      <c r="A18" s="10" t="s">
        <v>21</v>
      </c>
      <c r="B18" s="2"/>
      <c r="C18" s="102">
        <f>'State Authorization Expense'!C19</f>
        <v>25000</v>
      </c>
      <c r="D18" s="102">
        <f>'State Authorization Expense'!$D$19</f>
        <v>20000</v>
      </c>
      <c r="E18" s="102">
        <f>'State Authorization Expense'!$D$19</f>
        <v>20000</v>
      </c>
      <c r="F18" s="102">
        <f>'State Authorization Expense'!$D$19</f>
        <v>20000</v>
      </c>
      <c r="G18" s="102">
        <f>'State Authorization Expense'!$D$19</f>
        <v>20000</v>
      </c>
      <c r="H18" s="87" t="s">
        <v>293</v>
      </c>
    </row>
    <row r="19" spans="1:9">
      <c r="A19" s="10" t="s">
        <v>165</v>
      </c>
      <c r="B19" s="2"/>
      <c r="C19" s="49">
        <f>'Admissions Activity Expense'!D39</f>
        <v>9068.5096153846134</v>
      </c>
      <c r="D19" s="49">
        <f>'Admissions Activity Expense'!E39</f>
        <v>9086.538461538461</v>
      </c>
      <c r="E19" s="49">
        <f>'Admissions Activity Expense'!F39</f>
        <v>9104.5673076923067</v>
      </c>
      <c r="F19" s="49">
        <f>'Admissions Activity Expense'!G39</f>
        <v>9122.5961538461524</v>
      </c>
      <c r="G19" s="49">
        <f>'Admissions Activity Expense'!H39</f>
        <v>9140.6249999999982</v>
      </c>
      <c r="H19" s="87" t="s">
        <v>294</v>
      </c>
      <c r="I19" s="47"/>
    </row>
    <row r="20" spans="1:9" hidden="1">
      <c r="A20" s="10" t="s">
        <v>115</v>
      </c>
      <c r="B20" s="2"/>
      <c r="C20" s="90">
        <v>0</v>
      </c>
      <c r="D20" s="90">
        <v>0</v>
      </c>
      <c r="E20" s="90">
        <v>0</v>
      </c>
      <c r="F20" s="90">
        <v>0</v>
      </c>
      <c r="G20" s="90">
        <v>0</v>
      </c>
      <c r="H20" s="87" t="s">
        <v>120</v>
      </c>
      <c r="I20" s="47"/>
    </row>
    <row r="21" spans="1:9" hidden="1">
      <c r="A21" s="10" t="s">
        <v>116</v>
      </c>
      <c r="B21" s="2"/>
      <c r="C21" s="90">
        <v>0</v>
      </c>
      <c r="D21" s="90">
        <v>0</v>
      </c>
      <c r="E21" s="90">
        <v>0</v>
      </c>
      <c r="F21" s="90">
        <v>0</v>
      </c>
      <c r="G21" s="90">
        <v>0</v>
      </c>
      <c r="H21" s="87" t="s">
        <v>120</v>
      </c>
    </row>
    <row r="22" spans="1:9" hidden="1">
      <c r="A22" s="10"/>
      <c r="B22" s="2"/>
      <c r="C22" s="8"/>
      <c r="D22" s="8"/>
      <c r="E22" s="8"/>
      <c r="F22" s="8"/>
      <c r="G22" s="8"/>
      <c r="H22" s="87"/>
    </row>
    <row r="23" spans="1:9">
      <c r="A23" s="103" t="s">
        <v>166</v>
      </c>
      <c r="B23" s="4"/>
      <c r="C23" s="6">
        <f>SUM(C14:C21)</f>
        <v>719406.00961538462</v>
      </c>
      <c r="D23" s="6">
        <f>SUM(D14:D21)</f>
        <v>957013.5384615385</v>
      </c>
      <c r="E23" s="6">
        <f>SUM(E14:E21)</f>
        <v>986765.73605769221</v>
      </c>
      <c r="F23" s="6">
        <f>SUM(F14:F21)</f>
        <v>1017466.8494788462</v>
      </c>
      <c r="G23" s="6">
        <f>SUM(G14:G21)</f>
        <v>1049147.0529226249</v>
      </c>
      <c r="H23" s="87" t="s">
        <v>295</v>
      </c>
    </row>
    <row r="24" spans="1:9">
      <c r="A24" s="2"/>
      <c r="B24" s="2"/>
      <c r="C24" s="2"/>
      <c r="D24" s="2"/>
      <c r="E24" s="2"/>
      <c r="F24" s="2"/>
      <c r="G24" s="2"/>
      <c r="H24" s="87"/>
    </row>
    <row r="25" spans="1:9">
      <c r="A25" s="103" t="s">
        <v>1</v>
      </c>
      <c r="B25" s="4"/>
      <c r="C25" s="4"/>
      <c r="D25" s="4"/>
      <c r="E25" s="4"/>
      <c r="F25" s="4"/>
      <c r="G25" s="4"/>
      <c r="H25" s="87"/>
    </row>
    <row r="26" spans="1:9">
      <c r="A26" s="2"/>
      <c r="B26" s="10" t="s">
        <v>109</v>
      </c>
      <c r="C26" s="5">
        <f>'Other General Expense'!E67</f>
        <v>28750</v>
      </c>
      <c r="D26" s="5">
        <f>'Other General Expense'!F67</f>
        <v>57500</v>
      </c>
      <c r="E26" s="5">
        <f>'Other General Expense'!G67</f>
        <v>86250</v>
      </c>
      <c r="F26" s="5">
        <f>'Other General Expense'!H67</f>
        <v>86250</v>
      </c>
      <c r="G26" s="5">
        <f>'Other General Expense'!I67</f>
        <v>86250</v>
      </c>
      <c r="H26" s="87" t="s">
        <v>296</v>
      </c>
    </row>
    <row r="27" spans="1:9">
      <c r="A27" s="2"/>
      <c r="B27" s="10" t="s">
        <v>13</v>
      </c>
      <c r="C27" s="49">
        <f>'Other General Expense'!E10</f>
        <v>30000</v>
      </c>
      <c r="D27" s="49">
        <f>'Other General Expense'!F10</f>
        <v>30000</v>
      </c>
      <c r="E27" s="49">
        <f>'Other General Expense'!G10</f>
        <v>30000</v>
      </c>
      <c r="F27" s="49">
        <f>'Other General Expense'!H10</f>
        <v>30000</v>
      </c>
      <c r="G27" s="49">
        <f>'Other General Expense'!I10</f>
        <v>30000</v>
      </c>
      <c r="H27" s="87" t="s">
        <v>296</v>
      </c>
    </row>
    <row r="28" spans="1:9">
      <c r="A28" s="2"/>
      <c r="B28" s="10" t="s">
        <v>14</v>
      </c>
      <c r="C28" s="49">
        <f>SUM('Other General Expense'!E23:E30)</f>
        <v>13532</v>
      </c>
      <c r="D28" s="49">
        <f>SUM('Other General Expense'!F23:F30)</f>
        <v>8759</v>
      </c>
      <c r="E28" s="49">
        <f>SUM('Other General Expense'!G23:G30)</f>
        <v>6720</v>
      </c>
      <c r="F28" s="49">
        <f>SUM('Other General Expense'!H23:H30)</f>
        <v>6720</v>
      </c>
      <c r="G28" s="49">
        <f>SUM('Other General Expense'!I23:I30)</f>
        <v>6720</v>
      </c>
      <c r="H28" s="87" t="s">
        <v>296</v>
      </c>
    </row>
    <row r="29" spans="1:9">
      <c r="A29" s="2"/>
      <c r="B29" s="10" t="s">
        <v>15</v>
      </c>
      <c r="C29" s="49">
        <f>SUM('Other General Expense'!E34)</f>
        <v>50000</v>
      </c>
      <c r="D29" s="49">
        <f>SUM('Other General Expense'!F34)</f>
        <v>47500</v>
      </c>
      <c r="E29" s="49">
        <f>SUM('Other General Expense'!G34)</f>
        <v>45125</v>
      </c>
      <c r="F29" s="49">
        <f>SUM('Other General Expense'!H34)</f>
        <v>42868.75</v>
      </c>
      <c r="G29" s="49">
        <f>SUM('Other General Expense'!I34)</f>
        <v>40725.3125</v>
      </c>
      <c r="H29" s="87" t="s">
        <v>296</v>
      </c>
    </row>
    <row r="30" spans="1:9">
      <c r="A30" s="2"/>
      <c r="B30" s="10" t="s">
        <v>17</v>
      </c>
      <c r="C30" s="49">
        <f>'Other General Expense'!E40+'Other General Expense'!E44</f>
        <v>33750</v>
      </c>
      <c r="D30" s="49">
        <f>'Other General Expense'!F40+'Other General Expense'!F44</f>
        <v>3750</v>
      </c>
      <c r="E30" s="49">
        <f>'Other General Expense'!G40+'Other General Expense'!G44</f>
        <v>3750</v>
      </c>
      <c r="F30" s="49">
        <f>'Other General Expense'!H40+'Other General Expense'!H44</f>
        <v>3750</v>
      </c>
      <c r="G30" s="49">
        <f>'Other General Expense'!I40+'Other General Expense'!I44</f>
        <v>3750</v>
      </c>
      <c r="H30" s="87" t="s">
        <v>296</v>
      </c>
    </row>
    <row r="31" spans="1:9">
      <c r="A31" s="2"/>
      <c r="B31" s="10" t="s">
        <v>65</v>
      </c>
      <c r="C31" s="49">
        <f>'Other General Expense'!E48</f>
        <v>10000</v>
      </c>
      <c r="D31" s="49">
        <f>'Other General Expense'!F48</f>
        <v>20000</v>
      </c>
      <c r="E31" s="49">
        <f>'Other General Expense'!G48</f>
        <v>30000</v>
      </c>
      <c r="F31" s="49">
        <f>'Other General Expense'!H48</f>
        <v>30000</v>
      </c>
      <c r="G31" s="49">
        <f>'Other General Expense'!I48</f>
        <v>30000</v>
      </c>
      <c r="H31" s="87" t="s">
        <v>296</v>
      </c>
    </row>
    <row r="32" spans="1:9">
      <c r="A32" s="103" t="s">
        <v>2</v>
      </c>
      <c r="B32" s="4"/>
      <c r="C32" s="6">
        <f>IF(SUM(C26:C31),SUM(C26:C31),"")</f>
        <v>166032</v>
      </c>
      <c r="D32" s="6">
        <f>IF(SUM(D26:D31),SUM(D26:D31),"")</f>
        <v>167509</v>
      </c>
      <c r="E32" s="6">
        <f>IF(SUM(E26:E31),SUM(E26:E31),"")</f>
        <v>201845</v>
      </c>
      <c r="F32" s="6">
        <f>IF(SUM(F26:F31),SUM(F26:F31),"")</f>
        <v>199588.75</v>
      </c>
      <c r="G32" s="6">
        <f>IF(SUM(G26:G31),SUM(G26:G31),"")</f>
        <v>197445.3125</v>
      </c>
      <c r="H32" s="87" t="s">
        <v>297</v>
      </c>
    </row>
    <row r="33" spans="1:8">
      <c r="A33" s="2"/>
      <c r="B33" s="2"/>
      <c r="C33" s="2"/>
      <c r="D33" s="2"/>
      <c r="E33" s="2"/>
      <c r="F33" s="2"/>
      <c r="G33" s="2"/>
    </row>
    <row r="34" spans="1:8">
      <c r="A34" s="103" t="s">
        <v>217</v>
      </c>
      <c r="B34" s="4"/>
      <c r="C34" s="4"/>
      <c r="D34" s="4"/>
      <c r="E34" s="4"/>
      <c r="F34" s="4"/>
      <c r="G34" s="4"/>
    </row>
    <row r="35" spans="1:8">
      <c r="A35" s="2"/>
      <c r="B35" s="2" t="str">
        <f>'START HERE - Summary Input Page'!C76</f>
        <v>Program Specific Cost 1</v>
      </c>
      <c r="C35" s="146">
        <f>'START HERE - Summary Input Page'!$D$76</f>
        <v>20000</v>
      </c>
      <c r="D35" s="146">
        <f>'START HERE - Summary Input Page'!$D$76</f>
        <v>20000</v>
      </c>
      <c r="E35" s="146">
        <f>'START HERE - Summary Input Page'!$D$76</f>
        <v>20000</v>
      </c>
      <c r="F35" s="146">
        <f>'START HERE - Summary Input Page'!$D$76</f>
        <v>20000</v>
      </c>
      <c r="G35" s="146">
        <f>'START HERE - Summary Input Page'!$D$76</f>
        <v>20000</v>
      </c>
      <c r="H35" s="87" t="s">
        <v>246</v>
      </c>
    </row>
    <row r="36" spans="1:8">
      <c r="A36" s="2"/>
      <c r="B36" s="2" t="str">
        <f>'START HERE - Summary Input Page'!C78</f>
        <v>Program Specific Cost 2</v>
      </c>
      <c r="C36" s="146">
        <f>'START HERE - Summary Input Page'!$D$78</f>
        <v>50000</v>
      </c>
      <c r="D36" s="146">
        <f>'START HERE - Summary Input Page'!$D$78</f>
        <v>50000</v>
      </c>
      <c r="E36" s="146">
        <f>'START HERE - Summary Input Page'!$D$78</f>
        <v>50000</v>
      </c>
      <c r="F36" s="146">
        <f>'START HERE - Summary Input Page'!$D$78</f>
        <v>50000</v>
      </c>
      <c r="G36" s="146">
        <f>'START HERE - Summary Input Page'!$D$78</f>
        <v>50000</v>
      </c>
      <c r="H36" s="87" t="s">
        <v>246</v>
      </c>
    </row>
    <row r="37" spans="1:8">
      <c r="A37" s="2"/>
      <c r="B37" s="2" t="str">
        <f>'START HERE - Summary Input Page'!C80</f>
        <v>Program Specific Cost 3</v>
      </c>
      <c r="C37" s="146">
        <f>'START HERE - Summary Input Page'!$D$80</f>
        <v>10000</v>
      </c>
      <c r="D37" s="146">
        <f>'START HERE - Summary Input Page'!$D$80</f>
        <v>10000</v>
      </c>
      <c r="E37" s="146">
        <f>'START HERE - Summary Input Page'!$D$80</f>
        <v>10000</v>
      </c>
      <c r="F37" s="146">
        <f>'START HERE - Summary Input Page'!$D$80</f>
        <v>10000</v>
      </c>
      <c r="G37" s="146">
        <f>'START HERE - Summary Input Page'!$D$80</f>
        <v>10000</v>
      </c>
      <c r="H37" s="87" t="s">
        <v>246</v>
      </c>
    </row>
    <row r="38" spans="1:8">
      <c r="A38" s="2"/>
      <c r="B38" s="2" t="str">
        <f>'START HERE - Summary Input Page'!C82</f>
        <v>Program Specific Cost 4</v>
      </c>
      <c r="C38" s="146">
        <f>'START HERE - Summary Input Page'!$D$82</f>
        <v>5000</v>
      </c>
      <c r="D38" s="146">
        <f>'START HERE - Summary Input Page'!$D$82</f>
        <v>5000</v>
      </c>
      <c r="E38" s="146">
        <f>'START HERE - Summary Input Page'!$D$82</f>
        <v>5000</v>
      </c>
      <c r="F38" s="146">
        <f>'START HERE - Summary Input Page'!$D$82</f>
        <v>5000</v>
      </c>
      <c r="G38" s="146">
        <f>'START HERE - Summary Input Page'!$D$82</f>
        <v>5000</v>
      </c>
      <c r="H38" s="87" t="s">
        <v>246</v>
      </c>
    </row>
    <row r="39" spans="1:8">
      <c r="A39" s="103" t="s">
        <v>218</v>
      </c>
      <c r="B39" s="4"/>
      <c r="C39" s="147">
        <f>SUM(C35:C38)</f>
        <v>85000</v>
      </c>
      <c r="D39" s="147">
        <f>SUM(D35:D38)</f>
        <v>85000</v>
      </c>
      <c r="E39" s="147">
        <f>SUM(E35:E38)</f>
        <v>85000</v>
      </c>
      <c r="F39" s="147">
        <f>SUM(F35:F38)</f>
        <v>85000</v>
      </c>
      <c r="G39" s="147">
        <f>SUM(G35:G38)</f>
        <v>85000</v>
      </c>
      <c r="H39" s="87" t="s">
        <v>298</v>
      </c>
    </row>
    <row r="40" spans="1:8">
      <c r="A40" s="2"/>
      <c r="B40" s="2"/>
      <c r="C40" s="2"/>
      <c r="D40" s="2"/>
      <c r="E40" s="2"/>
      <c r="F40" s="2"/>
      <c r="G40" s="2"/>
    </row>
    <row r="41" spans="1:8">
      <c r="A41" s="103" t="s">
        <v>167</v>
      </c>
      <c r="B41" s="4"/>
      <c r="C41" s="7">
        <f>SUM(C32,C23,C39)</f>
        <v>970438.00961538462</v>
      </c>
      <c r="D41" s="7">
        <f>SUM(D32,D23,D39)</f>
        <v>1209522.5384615385</v>
      </c>
      <c r="E41" s="7">
        <f>SUM(E32,E23,E39)</f>
        <v>1273610.7360576922</v>
      </c>
      <c r="F41" s="7">
        <f>SUM(F32,F23,F39)</f>
        <v>1302055.5994788462</v>
      </c>
      <c r="G41" s="7">
        <f>SUM(G32,G23,G39)</f>
        <v>1331592.3654226249</v>
      </c>
      <c r="H41" s="87" t="s">
        <v>299</v>
      </c>
    </row>
    <row r="42" spans="1:8">
      <c r="A42" s="2"/>
      <c r="B42" s="2"/>
      <c r="C42" s="2"/>
      <c r="D42" s="2"/>
      <c r="E42" s="2"/>
      <c r="F42" s="2"/>
      <c r="G42" s="2"/>
    </row>
    <row r="43" spans="1:8">
      <c r="A43" s="103" t="s">
        <v>195</v>
      </c>
      <c r="B43" s="4"/>
      <c r="C43" s="157">
        <v>50000</v>
      </c>
      <c r="D43" s="157">
        <v>50000</v>
      </c>
      <c r="E43" s="157">
        <v>50000</v>
      </c>
      <c r="F43" s="157">
        <v>50000</v>
      </c>
      <c r="G43" s="157">
        <v>50000</v>
      </c>
      <c r="H43" s="87" t="s">
        <v>300</v>
      </c>
    </row>
    <row r="44" spans="1:8">
      <c r="A44" s="2"/>
      <c r="B44" s="2"/>
      <c r="C44" s="2"/>
      <c r="D44" s="2"/>
      <c r="E44" s="2"/>
      <c r="F44" s="2"/>
      <c r="G44" s="2"/>
    </row>
    <row r="45" spans="1:8" ht="13" thickBot="1">
      <c r="A45" s="3" t="s">
        <v>3</v>
      </c>
      <c r="B45" s="4"/>
      <c r="C45" s="9">
        <f>C10-C41+C43</f>
        <v>-187938.00961538462</v>
      </c>
      <c r="D45" s="9">
        <f>D10-D41+D43</f>
        <v>325177.4615384615</v>
      </c>
      <c r="E45" s="9">
        <f>E10-E41+E43</f>
        <v>1057382.2639423078</v>
      </c>
      <c r="F45" s="9">
        <f>F10-F41+F43</f>
        <v>1096080.1305211538</v>
      </c>
      <c r="G45" s="9">
        <f>G10-G41+G43</f>
        <v>1135694.2558773754</v>
      </c>
      <c r="H45" s="87" t="s">
        <v>301</v>
      </c>
    </row>
    <row r="46" spans="1:8" ht="13" thickTop="1"/>
    <row r="47" spans="1:8" ht="14.25" customHeight="1">
      <c r="A47" s="196" t="s">
        <v>223</v>
      </c>
      <c r="B47" s="196"/>
      <c r="C47" s="196"/>
      <c r="D47" s="196"/>
      <c r="E47" s="196"/>
      <c r="F47" s="196"/>
      <c r="G47" s="196"/>
    </row>
    <row r="48" spans="1:8">
      <c r="A48" s="196"/>
      <c r="B48" s="196"/>
      <c r="C48" s="196"/>
      <c r="D48" s="196"/>
      <c r="E48" s="196"/>
      <c r="F48" s="196"/>
      <c r="G48" s="196"/>
    </row>
    <row r="49" spans="3:5">
      <c r="C49" s="132"/>
      <c r="D49" s="132"/>
      <c r="E49" s="132"/>
    </row>
  </sheetData>
  <mergeCells count="3">
    <mergeCell ref="A3:G3"/>
    <mergeCell ref="A4:G4"/>
    <mergeCell ref="A47:G48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scale="72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CEAEEE3B-C72C-404E-8AF4-E9120CF5C7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START HERE - Summary Input Page</vt:lpstr>
      <vt:lpstr>Salary Expense</vt:lpstr>
      <vt:lpstr>Salary Expense by Course</vt:lpstr>
      <vt:lpstr>Other General Expense</vt:lpstr>
      <vt:lpstr>State Authorization Expense</vt:lpstr>
      <vt:lpstr>Admissions Activity Expense</vt:lpstr>
      <vt:lpstr>Revenue Estimation</vt:lpstr>
      <vt:lpstr>Pro-Forma Income Statement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2014-09-30T14:50:05Z</dcterms:created>
  <dcterms:modified xsi:type="dcterms:W3CDTF">2015-09-14T13:54:16Z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TC018773599991</vt:lpwstr>
  </property>
</Properties>
</file>